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5" yWindow="95" windowWidth="16750" windowHeight="11452" firstSheet="1" activeTab="1"/>
  </bookViews>
  <sheets>
    <sheet name="май-август" sheetId="1" state="hidden" r:id="rId1"/>
    <sheet name="Командировки" sheetId="4" r:id="rId2"/>
  </sheets>
  <definedNames>
    <definedName name="_xlnm._FilterDatabase" localSheetId="0" hidden="1">'май-август'!$A$4:$M$4</definedName>
  </definedNames>
  <calcPr calcId="125725"/>
</workbook>
</file>

<file path=xl/calcChain.xml><?xml version="1.0" encoding="utf-8"?>
<calcChain xmlns="http://schemas.openxmlformats.org/spreadsheetml/2006/main">
  <c r="H338" i="4"/>
  <c r="G338"/>
  <c r="F338"/>
  <c r="J337"/>
  <c r="G336"/>
  <c r="J336" s="1"/>
  <c r="G335"/>
  <c r="F335"/>
  <c r="J335" s="1"/>
  <c r="G334"/>
  <c r="J334" s="1"/>
  <c r="H333"/>
  <c r="G333"/>
  <c r="F333"/>
  <c r="J333" s="1"/>
  <c r="G332"/>
  <c r="F332"/>
  <c r="J332" s="1"/>
  <c r="G331"/>
  <c r="F331"/>
  <c r="J331" s="1"/>
  <c r="H330"/>
  <c r="G330"/>
  <c r="F330"/>
  <c r="G329"/>
  <c r="F329"/>
  <c r="J328"/>
  <c r="G328"/>
  <c r="J327"/>
  <c r="G327"/>
  <c r="J326"/>
  <c r="G326"/>
  <c r="J325"/>
  <c r="G325"/>
  <c r="J324"/>
  <c r="G324"/>
  <c r="J323"/>
  <c r="G323"/>
  <c r="J322"/>
  <c r="G322"/>
  <c r="I321"/>
  <c r="G321"/>
  <c r="H320"/>
  <c r="G320"/>
  <c r="H319"/>
  <c r="G319"/>
  <c r="G318"/>
  <c r="J318" s="1"/>
  <c r="H317"/>
  <c r="G317"/>
  <c r="J317" s="1"/>
  <c r="H316"/>
  <c r="G316"/>
  <c r="J316" s="1"/>
  <c r="G315"/>
  <c r="J315" s="1"/>
  <c r="G314"/>
  <c r="F314"/>
  <c r="G313"/>
  <c r="F313"/>
  <c r="H312"/>
  <c r="G312"/>
  <c r="H311"/>
  <c r="G311"/>
  <c r="G310"/>
  <c r="J310" s="1"/>
  <c r="H309"/>
  <c r="G309"/>
  <c r="J309" s="1"/>
  <c r="H308"/>
  <c r="G308"/>
  <c r="J308" s="1"/>
  <c r="F308"/>
  <c r="G307"/>
  <c r="F307"/>
  <c r="G306"/>
  <c r="J306" s="1"/>
  <c r="H305"/>
  <c r="G305"/>
  <c r="F305"/>
  <c r="G304"/>
  <c r="J304" s="1"/>
  <c r="H303"/>
  <c r="G303"/>
  <c r="J303" s="1"/>
  <c r="G302"/>
  <c r="J302" s="1"/>
  <c r="H301"/>
  <c r="G301"/>
  <c r="G300"/>
  <c r="J300" s="1"/>
  <c r="H299"/>
  <c r="G299"/>
  <c r="F299"/>
  <c r="G298"/>
  <c r="J298" s="1"/>
  <c r="G297"/>
  <c r="F297"/>
  <c r="G296"/>
  <c r="J296" s="1"/>
  <c r="H295"/>
  <c r="G295"/>
  <c r="F295"/>
  <c r="H294"/>
  <c r="G294"/>
  <c r="H293"/>
  <c r="G293"/>
  <c r="G292"/>
  <c r="J292" s="1"/>
  <c r="G291"/>
  <c r="J291" s="1"/>
  <c r="J290"/>
  <c r="I289"/>
  <c r="G289"/>
  <c r="G288"/>
  <c r="J288" s="1"/>
  <c r="G287"/>
  <c r="J287" s="1"/>
  <c r="G286"/>
  <c r="F286"/>
  <c r="I285"/>
  <c r="G285"/>
  <c r="H284"/>
  <c r="G284"/>
  <c r="H283"/>
  <c r="J283" s="1"/>
  <c r="G282"/>
  <c r="J282" s="1"/>
  <c r="G281"/>
  <c r="J281" s="1"/>
  <c r="G280"/>
  <c r="J280" s="1"/>
  <c r="G279"/>
  <c r="J279" s="1"/>
  <c r="G278"/>
  <c r="J278" s="1"/>
  <c r="G277"/>
  <c r="J277" s="1"/>
  <c r="G276"/>
  <c r="J276" s="1"/>
  <c r="G275"/>
  <c r="J275" s="1"/>
  <c r="G274"/>
  <c r="J274" s="1"/>
  <c r="G273"/>
  <c r="J273" s="1"/>
  <c r="G272"/>
  <c r="F272"/>
  <c r="H271"/>
  <c r="G271"/>
  <c r="G270"/>
  <c r="J270" s="1"/>
  <c r="H269"/>
  <c r="G269"/>
  <c r="G268"/>
  <c r="F268"/>
  <c r="G267"/>
  <c r="J267" s="1"/>
  <c r="H266"/>
  <c r="G266"/>
  <c r="F266"/>
  <c r="H265"/>
  <c r="G265"/>
  <c r="F265"/>
  <c r="H264"/>
  <c r="G264"/>
  <c r="F264"/>
  <c r="G263"/>
  <c r="F263"/>
  <c r="H262"/>
  <c r="G262"/>
  <c r="H261"/>
  <c r="G261"/>
  <c r="F261"/>
  <c r="H260"/>
  <c r="G260"/>
  <c r="G259"/>
  <c r="J259" s="1"/>
  <c r="G258"/>
  <c r="J258" s="1"/>
  <c r="H257"/>
  <c r="G257"/>
  <c r="J256"/>
  <c r="G255"/>
  <c r="J255" s="1"/>
  <c r="G254"/>
  <c r="J254" s="1"/>
  <c r="G253"/>
  <c r="J253" s="1"/>
  <c r="G252"/>
  <c r="J252" s="1"/>
  <c r="G251"/>
  <c r="J251" s="1"/>
  <c r="J250"/>
  <c r="J249"/>
  <c r="G248"/>
  <c r="J248" s="1"/>
  <c r="G247"/>
  <c r="J247" s="1"/>
  <c r="G246"/>
  <c r="J246" s="1"/>
  <c r="H245"/>
  <c r="G245"/>
  <c r="G244"/>
  <c r="J244" s="1"/>
  <c r="G243"/>
  <c r="F243"/>
  <c r="J243" s="1"/>
  <c r="G242"/>
  <c r="J242" s="1"/>
  <c r="H241"/>
  <c r="G241"/>
  <c r="F241"/>
  <c r="H240"/>
  <c r="G240"/>
  <c r="H239"/>
  <c r="G239"/>
  <c r="F239"/>
  <c r="J239" s="1"/>
  <c r="G238"/>
  <c r="F238"/>
  <c r="J238" s="1"/>
  <c r="G237"/>
  <c r="J237" s="1"/>
  <c r="G236"/>
  <c r="F236"/>
  <c r="G235"/>
  <c r="F235"/>
  <c r="G234"/>
  <c r="J234" s="1"/>
  <c r="G233"/>
  <c r="J233" s="1"/>
  <c r="H232"/>
  <c r="G232"/>
  <c r="J232" s="1"/>
  <c r="G231"/>
  <c r="F231"/>
  <c r="J231" s="1"/>
  <c r="G230"/>
  <c r="F230"/>
  <c r="J230" s="1"/>
  <c r="G229"/>
  <c r="F229"/>
  <c r="J229" s="1"/>
  <c r="H228"/>
  <c r="G228"/>
  <c r="J228" s="1"/>
  <c r="F228"/>
  <c r="H227"/>
  <c r="G227"/>
  <c r="F227"/>
  <c r="G226"/>
  <c r="J226" s="1"/>
  <c r="G225"/>
  <c r="J225" s="1"/>
  <c r="G224"/>
  <c r="J224" s="1"/>
  <c r="G223"/>
  <c r="J223" s="1"/>
  <c r="G222"/>
  <c r="J222" s="1"/>
  <c r="G221"/>
  <c r="J221" s="1"/>
  <c r="G220"/>
  <c r="J220" s="1"/>
  <c r="H219"/>
  <c r="G219"/>
  <c r="G218"/>
  <c r="J218" s="1"/>
  <c r="G217"/>
  <c r="J217" s="1"/>
  <c r="G216"/>
  <c r="J216" s="1"/>
  <c r="G215"/>
  <c r="F215"/>
  <c r="H214"/>
  <c r="G214"/>
  <c r="H213"/>
  <c r="G213"/>
  <c r="J212"/>
  <c r="J211"/>
  <c r="G210"/>
  <c r="J210" s="1"/>
  <c r="G209"/>
  <c r="J209" s="1"/>
  <c r="G208"/>
  <c r="J208" s="1"/>
  <c r="G207"/>
  <c r="F207"/>
  <c r="G206"/>
  <c r="J206" s="1"/>
  <c r="G205"/>
  <c r="J205" s="1"/>
  <c r="H204"/>
  <c r="G204"/>
  <c r="G203"/>
  <c r="F203"/>
  <c r="G202"/>
  <c r="J202" s="1"/>
  <c r="H201"/>
  <c r="G201"/>
  <c r="G200"/>
  <c r="F200"/>
  <c r="J200" s="1"/>
  <c r="G199"/>
  <c r="F199"/>
  <c r="J199" s="1"/>
  <c r="G198"/>
  <c r="J198" s="1"/>
  <c r="G197"/>
  <c r="J197" s="1"/>
  <c r="G196"/>
  <c r="F196"/>
  <c r="J196" s="1"/>
  <c r="H195"/>
  <c r="G195"/>
  <c r="J195" s="1"/>
  <c r="G194"/>
  <c r="J194" s="1"/>
  <c r="G193"/>
  <c r="J193" s="1"/>
  <c r="G192"/>
  <c r="F192"/>
  <c r="J192" s="1"/>
  <c r="G191"/>
  <c r="F191"/>
  <c r="J191" s="1"/>
  <c r="H190"/>
  <c r="G190"/>
  <c r="J190" s="1"/>
  <c r="G189"/>
  <c r="J189" s="1"/>
  <c r="G188"/>
  <c r="F188"/>
  <c r="J187"/>
  <c r="G187"/>
  <c r="J186"/>
  <c r="G186"/>
  <c r="H185"/>
  <c r="G185"/>
  <c r="H184"/>
  <c r="G184"/>
  <c r="J183"/>
  <c r="G183"/>
  <c r="J182"/>
  <c r="G182"/>
  <c r="J181"/>
  <c r="G181"/>
  <c r="H180"/>
  <c r="G180"/>
  <c r="F180"/>
  <c r="G179"/>
  <c r="J179" s="1"/>
  <c r="G178"/>
  <c r="J178" s="1"/>
  <c r="G177"/>
  <c r="J177" s="1"/>
  <c r="H176"/>
  <c r="G176"/>
  <c r="J175"/>
  <c r="G174"/>
  <c r="J174" s="1"/>
  <c r="H173"/>
  <c r="J173" s="1"/>
  <c r="G172"/>
  <c r="F172"/>
  <c r="G171"/>
  <c r="J171" s="1"/>
  <c r="G170"/>
  <c r="J170" s="1"/>
  <c r="G169"/>
  <c r="F169"/>
  <c r="H168"/>
  <c r="G168"/>
  <c r="G167"/>
  <c r="F167"/>
  <c r="H166"/>
  <c r="G166"/>
  <c r="F166"/>
  <c r="G165"/>
  <c r="J165" s="1"/>
  <c r="G164"/>
  <c r="J164" s="1"/>
  <c r="G163"/>
  <c r="J163" s="1"/>
  <c r="G162"/>
  <c r="J162" s="1"/>
  <c r="G161"/>
  <c r="J161" s="1"/>
  <c r="G160"/>
  <c r="J160" s="1"/>
  <c r="G159"/>
  <c r="J159" s="1"/>
  <c r="G158"/>
  <c r="J158" s="1"/>
  <c r="G157"/>
  <c r="J157" s="1"/>
  <c r="G156"/>
  <c r="J156" s="1"/>
  <c r="G155"/>
  <c r="J155" s="1"/>
  <c r="G154"/>
  <c r="J154" s="1"/>
  <c r="G153"/>
  <c r="J153" s="1"/>
  <c r="G152"/>
  <c r="J152" s="1"/>
  <c r="G151"/>
  <c r="J151" s="1"/>
  <c r="G150"/>
  <c r="J150" s="1"/>
  <c r="H149"/>
  <c r="G149"/>
  <c r="H148"/>
  <c r="G148"/>
  <c r="F148"/>
  <c r="H147"/>
  <c r="G147"/>
  <c r="F147"/>
  <c r="H146"/>
  <c r="G146"/>
  <c r="H145"/>
  <c r="G145"/>
  <c r="G144"/>
  <c r="J144" s="1"/>
  <c r="G143"/>
  <c r="J143" s="1"/>
  <c r="H142"/>
  <c r="G142"/>
  <c r="F142"/>
  <c r="G141"/>
  <c r="F141"/>
  <c r="H140"/>
  <c r="G140"/>
  <c r="H139"/>
  <c r="G139"/>
  <c r="F139"/>
  <c r="H138"/>
  <c r="G138"/>
  <c r="G137"/>
  <c r="J137" s="1"/>
  <c r="H136"/>
  <c r="G136"/>
  <c r="J136" s="1"/>
  <c r="G135"/>
  <c r="J135" s="1"/>
  <c r="G134"/>
  <c r="J134" s="1"/>
  <c r="G133"/>
  <c r="J133" s="1"/>
  <c r="G132"/>
  <c r="J132" s="1"/>
  <c r="H131"/>
  <c r="G131"/>
  <c r="F131"/>
  <c r="H130"/>
  <c r="G130"/>
  <c r="F130"/>
  <c r="J130" s="1"/>
  <c r="H129"/>
  <c r="G129"/>
  <c r="F129"/>
  <c r="J128"/>
  <c r="J127"/>
  <c r="H126"/>
  <c r="G126"/>
  <c r="G125"/>
  <c r="J125" s="1"/>
  <c r="G124"/>
  <c r="J124" s="1"/>
  <c r="G123"/>
  <c r="F123"/>
  <c r="G122"/>
  <c r="F122"/>
  <c r="H121"/>
  <c r="G121"/>
  <c r="G120"/>
  <c r="J120" s="1"/>
  <c r="H119"/>
  <c r="G119"/>
  <c r="J119" s="1"/>
  <c r="H118"/>
  <c r="G118"/>
  <c r="F118"/>
  <c r="H117"/>
  <c r="G117"/>
  <c r="G116"/>
  <c r="J116" s="1"/>
  <c r="G115"/>
  <c r="F115"/>
  <c r="J115" s="1"/>
  <c r="H114"/>
  <c r="J114" s="1"/>
  <c r="H113"/>
  <c r="G113"/>
  <c r="F113"/>
  <c r="J113" s="1"/>
  <c r="H112"/>
  <c r="G112"/>
  <c r="J112" s="1"/>
  <c r="H111"/>
  <c r="G111"/>
  <c r="J111" s="1"/>
  <c r="G110"/>
  <c r="J110" s="1"/>
  <c r="G109"/>
  <c r="J109" s="1"/>
  <c r="G108"/>
  <c r="J108" s="1"/>
  <c r="H107"/>
  <c r="G107"/>
  <c r="H106"/>
  <c r="G106"/>
  <c r="G105"/>
  <c r="F105"/>
  <c r="H104"/>
  <c r="G104"/>
  <c r="J103"/>
  <c r="H102"/>
  <c r="J102" s="1"/>
  <c r="H101"/>
  <c r="J101" s="1"/>
  <c r="J100"/>
  <c r="H99"/>
  <c r="G99"/>
  <c r="G98"/>
  <c r="J98" s="1"/>
  <c r="G97"/>
  <c r="F97"/>
  <c r="J97" s="1"/>
  <c r="J96"/>
  <c r="J95"/>
  <c r="G95"/>
  <c r="J94"/>
  <c r="G94"/>
  <c r="J93"/>
  <c r="G93"/>
  <c r="J92"/>
  <c r="G92"/>
  <c r="G91"/>
  <c r="F91"/>
  <c r="H90"/>
  <c r="G90"/>
  <c r="F90"/>
  <c r="J90" s="1"/>
  <c r="H89"/>
  <c r="G89"/>
  <c r="F89"/>
  <c r="H88"/>
  <c r="G88"/>
  <c r="F88"/>
  <c r="J88" s="1"/>
  <c r="H87"/>
  <c r="G87"/>
  <c r="F87"/>
  <c r="H86"/>
  <c r="G86"/>
  <c r="F86"/>
  <c r="J86" s="1"/>
  <c r="H85"/>
  <c r="G85"/>
  <c r="F85"/>
  <c r="H84"/>
  <c r="G84"/>
  <c r="H83"/>
  <c r="G83"/>
  <c r="H82"/>
  <c r="G82"/>
  <c r="H81"/>
  <c r="G81"/>
  <c r="G80"/>
  <c r="J80" s="1"/>
  <c r="H79"/>
  <c r="G79"/>
  <c r="J79" s="1"/>
  <c r="G78"/>
  <c r="J78" s="1"/>
  <c r="H77"/>
  <c r="G77"/>
  <c r="F77"/>
  <c r="H76"/>
  <c r="G76"/>
  <c r="G75"/>
  <c r="J75" s="1"/>
  <c r="H74"/>
  <c r="G74"/>
  <c r="G73"/>
  <c r="J73" s="1"/>
  <c r="G72"/>
  <c r="J72" s="1"/>
  <c r="G71"/>
  <c r="J71" s="1"/>
  <c r="H70"/>
  <c r="G70"/>
  <c r="J70" s="1"/>
  <c r="F70"/>
  <c r="H69"/>
  <c r="G69"/>
  <c r="F69"/>
  <c r="H68"/>
  <c r="G68"/>
  <c r="F68"/>
  <c r="G67"/>
  <c r="F67"/>
  <c r="H66"/>
  <c r="G66"/>
  <c r="H65"/>
  <c r="G65"/>
  <c r="H64"/>
  <c r="G64"/>
  <c r="J63"/>
  <c r="G63"/>
  <c r="J62"/>
  <c r="H61"/>
  <c r="G61"/>
  <c r="J61" s="1"/>
  <c r="H60"/>
  <c r="G60"/>
  <c r="J60" s="1"/>
  <c r="H59"/>
  <c r="G59"/>
  <c r="F59"/>
  <c r="G58"/>
  <c r="F58"/>
  <c r="G57"/>
  <c r="J57" s="1"/>
  <c r="H56"/>
  <c r="G56"/>
  <c r="J56" s="1"/>
  <c r="H55"/>
  <c r="G55"/>
  <c r="J55" s="1"/>
  <c r="G54"/>
  <c r="J54" s="1"/>
  <c r="G53"/>
  <c r="J53" s="1"/>
  <c r="G52"/>
  <c r="J52" s="1"/>
  <c r="H51"/>
  <c r="G51"/>
  <c r="F51"/>
  <c r="J51" s="1"/>
  <c r="G50"/>
  <c r="J50" s="1"/>
  <c r="H49"/>
  <c r="G49"/>
  <c r="F49"/>
  <c r="J49" s="1"/>
  <c r="G48"/>
  <c r="J48" s="1"/>
  <c r="G47"/>
  <c r="J47" s="1"/>
  <c r="H46"/>
  <c r="G46"/>
  <c r="J46" s="1"/>
  <c r="H45"/>
  <c r="G45"/>
  <c r="J45" s="1"/>
  <c r="G44"/>
  <c r="J44" s="1"/>
  <c r="J43"/>
  <c r="G43"/>
  <c r="H42"/>
  <c r="G42"/>
  <c r="H41"/>
  <c r="G41"/>
  <c r="G40"/>
  <c r="J40" s="1"/>
  <c r="G39"/>
  <c r="J39" s="1"/>
  <c r="G38"/>
  <c r="J38" s="1"/>
  <c r="G37"/>
  <c r="J37" s="1"/>
  <c r="H36"/>
  <c r="G36"/>
  <c r="F36"/>
  <c r="G35"/>
  <c r="J35" s="1"/>
  <c r="G34"/>
  <c r="J34" s="1"/>
  <c r="G33"/>
  <c r="J33" s="1"/>
  <c r="G32"/>
  <c r="J32" s="1"/>
  <c r="H31"/>
  <c r="G31"/>
  <c r="F31"/>
  <c r="H30"/>
  <c r="J30" s="1"/>
  <c r="J29"/>
  <c r="H28"/>
  <c r="G28"/>
  <c r="F28"/>
  <c r="J28" s="1"/>
  <c r="H27"/>
  <c r="J27" s="1"/>
  <c r="G26"/>
  <c r="J26" s="1"/>
  <c r="G25"/>
  <c r="J25" s="1"/>
  <c r="G24"/>
  <c r="F24"/>
  <c r="G23"/>
  <c r="F23"/>
  <c r="J22"/>
  <c r="I21"/>
  <c r="G21"/>
  <c r="H20"/>
  <c r="J20" s="1"/>
  <c r="H19"/>
  <c r="J19" s="1"/>
  <c r="G18"/>
  <c r="J18" s="1"/>
  <c r="I17"/>
  <c r="I339" s="1"/>
  <c r="G17"/>
  <c r="G16"/>
  <c r="J16" s="1"/>
  <c r="J15"/>
  <c r="H14"/>
  <c r="G14"/>
  <c r="F14"/>
  <c r="F339" s="1"/>
  <c r="H13"/>
  <c r="G13"/>
  <c r="J13" s="1"/>
  <c r="G12"/>
  <c r="J12" s="1"/>
  <c r="G11"/>
  <c r="G339" s="1"/>
  <c r="J10"/>
  <c r="I27" i="1"/>
  <c r="D27"/>
  <c r="I26"/>
  <c r="D26"/>
  <c r="I25"/>
  <c r="D25"/>
  <c r="I24"/>
  <c r="D24"/>
  <c r="I23"/>
  <c r="D23"/>
  <c r="I22"/>
  <c r="D22"/>
  <c r="I21"/>
  <c r="D21"/>
  <c r="I20"/>
  <c r="D20"/>
  <c r="I19"/>
  <c r="D19"/>
  <c r="I18"/>
  <c r="I17"/>
  <c r="D17"/>
  <c r="D18"/>
  <c r="I13"/>
  <c r="I14"/>
  <c r="I15"/>
  <c r="D15"/>
  <c r="I16"/>
  <c r="D16"/>
  <c r="D12"/>
  <c r="I12"/>
  <c r="D11"/>
  <c r="I11"/>
  <c r="I10"/>
  <c r="I6"/>
  <c r="D6"/>
  <c r="I5"/>
  <c r="I7"/>
  <c r="I8"/>
  <c r="I9"/>
  <c r="D9"/>
  <c r="D30"/>
  <c r="I30"/>
  <c r="I29"/>
  <c r="J201" i="4" l="1"/>
  <c r="J219"/>
  <c r="J241"/>
  <c r="J23"/>
  <c r="J24"/>
  <c r="J31"/>
  <c r="J74"/>
  <c r="J77"/>
  <c r="J99"/>
  <c r="J104"/>
  <c r="J105"/>
  <c r="J106"/>
  <c r="J107"/>
  <c r="J138"/>
  <c r="J139"/>
  <c r="J145"/>
  <c r="J146"/>
  <c r="J147"/>
  <c r="J149"/>
  <c r="J176"/>
  <c r="J235"/>
  <c r="J236"/>
  <c r="J257"/>
  <c r="J260"/>
  <c r="J261"/>
  <c r="J265"/>
  <c r="J271"/>
  <c r="J272"/>
  <c r="J293"/>
  <c r="J294"/>
  <c r="J299"/>
  <c r="J301"/>
  <c r="H339"/>
  <c r="J14"/>
  <c r="J17"/>
  <c r="J21"/>
  <c r="J36"/>
  <c r="J41"/>
  <c r="J42"/>
  <c r="J58"/>
  <c r="J59"/>
  <c r="J64"/>
  <c r="J65"/>
  <c r="J66"/>
  <c r="J67"/>
  <c r="J68"/>
  <c r="J69"/>
  <c r="J76"/>
  <c r="J81"/>
  <c r="J82"/>
  <c r="J83"/>
  <c r="J84"/>
  <c r="J85"/>
  <c r="J87"/>
  <c r="J89"/>
  <c r="J91"/>
  <c r="J117"/>
  <c r="J118"/>
  <c r="J121"/>
  <c r="J122"/>
  <c r="J123"/>
  <c r="J126"/>
  <c r="J129"/>
  <c r="J131"/>
  <c r="J140"/>
  <c r="J141"/>
  <c r="J142"/>
  <c r="J148"/>
  <c r="J166"/>
  <c r="J167"/>
  <c r="J168"/>
  <c r="J169"/>
  <c r="J172"/>
  <c r="J180"/>
  <c r="J184"/>
  <c r="J185"/>
  <c r="J188"/>
  <c r="J203"/>
  <c r="J204"/>
  <c r="J207"/>
  <c r="J213"/>
  <c r="J214"/>
  <c r="J215"/>
  <c r="J227"/>
  <c r="J240"/>
  <c r="J245"/>
  <c r="J262"/>
  <c r="J263"/>
  <c r="J264"/>
  <c r="J266"/>
  <c r="J268"/>
  <c r="J269"/>
  <c r="J284"/>
  <c r="J285"/>
  <c r="J286"/>
  <c r="J289"/>
  <c r="J295"/>
  <c r="J297"/>
  <c r="J305"/>
  <c r="J307"/>
  <c r="J311"/>
  <c r="J312"/>
  <c r="J313"/>
  <c r="J314"/>
  <c r="J319"/>
  <c r="J320"/>
  <c r="J321"/>
  <c r="J329"/>
  <c r="J330"/>
  <c r="J338"/>
  <c r="J339"/>
  <c r="J11"/>
</calcChain>
</file>

<file path=xl/sharedStrings.xml><?xml version="1.0" encoding="utf-8"?>
<sst xmlns="http://schemas.openxmlformats.org/spreadsheetml/2006/main" count="1158" uniqueCount="650">
  <si>
    <t>№</t>
  </si>
  <si>
    <t>Иқтисод таснифи бўйича харажат моддаси</t>
  </si>
  <si>
    <t>Харид қилиниши лозим бўлган товар (хизмат) номи</t>
  </si>
  <si>
    <t>Маблағлар манбаи (бюджет, бюджетдан ташқари жамғарма маблағлари)</t>
  </si>
  <si>
    <t>Харид қилиниши режалаштирилнган товар (хизматлар) миқдори</t>
  </si>
  <si>
    <t>Нархи</t>
  </si>
  <si>
    <t>Суммаси</t>
  </si>
  <si>
    <t>Мақсади (марказий аппарат ёки тасарруфдаги муассасалар эхтиёжи учун)</t>
  </si>
  <si>
    <t>Товар (хизматлар) етказиб берувчи номи</t>
  </si>
  <si>
    <t xml:space="preserve">Харид қилинган товар (хизматлар) миқдори </t>
  </si>
  <si>
    <t>Харид қилинган (хизматларнинг жойларга етказилиши)</t>
  </si>
  <si>
    <t>Марказий аппарат</t>
  </si>
  <si>
    <t>Амалга оширилган харид тури (биржа, тендер савдолари)</t>
  </si>
  <si>
    <t>ПҚ-3953 га асосан</t>
  </si>
  <si>
    <t xml:space="preserve">Бюджетдан ташқари жамғарма </t>
  </si>
  <si>
    <t>Режалаштирил-ган маблағ</t>
  </si>
  <si>
    <t>Ягона етказиб берувчи</t>
  </si>
  <si>
    <t>Эхтиёт қисмларни алмаштириш бўйича хизматлар</t>
  </si>
  <si>
    <t>ЎРҚ-472 44-моддага асосан</t>
  </si>
  <si>
    <t>"Avtoban Group" МЧЖ</t>
  </si>
  <si>
    <t>миллий дўкон</t>
  </si>
  <si>
    <t>(2021 йил 01 май ҳолатига )</t>
  </si>
  <si>
    <t>Аукцион</t>
  </si>
  <si>
    <t>Олий Дипломатия мактаби</t>
  </si>
  <si>
    <t xml:space="preserve">Бюджет </t>
  </si>
  <si>
    <t xml:space="preserve">Ўзбекистон Республикаси Экология ва атроф-муҳитни муҳофаза қилиш давлат қўмитасида 
 амалга оширилган давлат харидлари тўғрисида маълумот </t>
  </si>
  <si>
    <t>"O'zR "O'zR ISVHLIKKEQM" DUKISVHLIKKEQM" DUK</t>
  </si>
  <si>
    <t>Комплекс экпертизадан ўтказиш</t>
  </si>
  <si>
    <t>"FAIR-SERVICE-SYSTEM" МЧЖ</t>
  </si>
  <si>
    <t>Хона ҳаво совутгичи (кондиционер)ларини демонтаж қилиш</t>
  </si>
  <si>
    <t>Узбек тили унисер.укитиш ва малака ошириш маркази</t>
  </si>
  <si>
    <t>Қўмита ҳодимларини ўзбек адабий тили меъёрлари, лотин ёзувига асосланган ўзбек алифбоси ва имлоси, давлат тилида иш юритиш асослари бўйича ўқитиш ва малакасини ошириш (масофавий)</t>
  </si>
  <si>
    <t>Қўмита ҳодимларини ўзбек адабий тили меъёрлари, лотин ёзувига асосланган ўзбек алифбоси ва имлоси, давлат тилида иш юритиш асослари бўйича ўқитиш ва малакасини ошириш (анъанавий)</t>
  </si>
  <si>
    <t xml:space="preserve"> "Absolute-Zomin" МЧЖ</t>
  </si>
  <si>
    <t>Ноутбук</t>
  </si>
  <si>
    <t>Ўз.Р. эк. ва атр.мух.ни мух.қил.қўм.хуз. ЭАММҚ ИТИ</t>
  </si>
  <si>
    <t xml:space="preserve"> Коврак ўсимлигини ҳисобини юритиш учун уларнинг тарқалиш ареаллари ва заҳирасини аниқлаш</t>
  </si>
  <si>
    <t>Орол денгизи ҳудудида Артемияни ўрганиш ва Қизилмия ўсимлигининг ҳисобини юритиш учун уларнинг тарқалиш ареаллари ва заҳирасини аниқлаш</t>
  </si>
  <si>
    <t>Ўз Р ФА Зоология институти</t>
  </si>
  <si>
    <t>бюджет (кадастр)</t>
  </si>
  <si>
    <t>Айдар арнасой кўллар тизимидаги балиқ турларини ҳисобга олиш ва кадастрини яратиш</t>
  </si>
  <si>
    <t>танлов</t>
  </si>
  <si>
    <t>ЯТТ Далишев Адилжон Кадирович</t>
  </si>
  <si>
    <t>Сейф</t>
  </si>
  <si>
    <t>электрон дўкон</t>
  </si>
  <si>
    <t>ДСҚ хузуридаги давлат кадастрлар палатаси агентлиги</t>
  </si>
  <si>
    <t>ҳудудларда мавжуд қаттиқ маиший чиқиндиларни кўмиш жойларининг аниқ чегара ҳудудларини белгилаш ва ягона маълумотлар базасини яратиш.</t>
  </si>
  <si>
    <t>Ўзбек Давлат ер тузиш илмий-лойихалаш институти Уздаверлойиха</t>
  </si>
  <si>
    <t>Янги ташкил этилган мухофаза этиладиган табиий ҳудудларнинг аниқ чегараларини аниқлаш</t>
  </si>
  <si>
    <t>Стратегиялар, музокаралар ва инвестициялар йўналишида малака ошириш</t>
  </si>
  <si>
    <t>"ХУСНИЯ АНАСХОН" МЧЖ</t>
  </si>
  <si>
    <t>BEQIYOS SHOX BIZNES ХК</t>
  </si>
  <si>
    <t>"AUTO BOUTIQUE" МЧЖ</t>
  </si>
  <si>
    <t>бюджет</t>
  </si>
  <si>
    <t>Сайтда VIP PR мақола чоп эттириш</t>
  </si>
  <si>
    <t>" QALAMPIR" МЧЖ</t>
  </si>
  <si>
    <t>"AUTOBOUTIQUE" МЧЖ</t>
  </si>
  <si>
    <t>Сурхондарё вилоятидаги "Тўпаланг" ва "Сангдарак" дарёлари ҳамда Наманган вилоятидаги "Қасноқ" ва "Қолгандарё" табиий қўлларининг сувни муҳофаза қилиш зоналарини ва соҳил бўйи минтақаларини белгилаш лойиҳасини ишлаб чиқиш ишларини бажариш</t>
  </si>
  <si>
    <t>"Ўздаверлойиҳа" давлат илмий-лойиҳалаш институти</t>
  </si>
  <si>
    <t>Иш берувчининг фуқаролик жавобгарлигини мажбурий суғурталаш</t>
  </si>
  <si>
    <t>"EUROASIA INSURANCE" СК МЧЖ</t>
  </si>
  <si>
    <t>Миллий табиат боғларида туризмни ривожлантириш дастури буйича ўқитиш</t>
  </si>
  <si>
    <t>"Turizmni rivojlantirish instituti" DM</t>
  </si>
  <si>
    <t>Нотўқима матодан тайёрланган бир марталик уч қаватли юз ниқоби</t>
  </si>
  <si>
    <t>"United Safed Protection" МЧЖ</t>
  </si>
  <si>
    <t>Ўсимлик ва хайвонот дунёси давлат кадастри объектларини геоахборот маълумотлар базасини яратиш</t>
  </si>
  <si>
    <t>Ўзбекистон Республикаси Экология ва атроф-муҳитни муҳофаза қилиш давлат қўмитаси ҳузуридаги Атроф-муҳит ва табиатни муҳофаза қилиш технологиялари илмий-тадқиқот институти</t>
  </si>
  <si>
    <t> Биноларни дезинфекция қилиш ишлари</t>
  </si>
  <si>
    <t>"MIRJAHON XIZMAT" МЧЖ</t>
  </si>
  <si>
    <t>Расходы на командировки должностных лиц и прием гостей из-за рубежа 
(за 12 месяцев 2021 г.)</t>
  </si>
  <si>
    <t>Mansabdor shaxslarning xizmat safarlari va xorijdan tashrif buyurgan mehmonlarni kutib olish xarajatlari 
(2021 yil 12 oy davomida)</t>
  </si>
  <si>
    <t>Cанаси</t>
  </si>
  <si>
    <t>Бориш манзили</t>
  </si>
  <si>
    <t>Буйруқ № ва сана</t>
  </si>
  <si>
    <t xml:space="preserve">Бўлган кунлари </t>
  </si>
  <si>
    <t>Мехмонхона харажатлари</t>
  </si>
  <si>
    <t>Суткалик харажатлари (Суточные) (сум)</t>
  </si>
  <si>
    <t>Транспорт ва темир йўл</t>
  </si>
  <si>
    <t xml:space="preserve">Авиабилет харажатлари </t>
  </si>
  <si>
    <t>Жами сафар харажатлар суммаси</t>
  </si>
  <si>
    <t>17.12.2021 – 18.12.2021</t>
  </si>
  <si>
    <t>Бухоро вилояти</t>
  </si>
  <si>
    <t>№192 х-с от 26.12.2021</t>
  </si>
  <si>
    <t>27.11.2021 – 28.11.2021</t>
  </si>
  <si>
    <t>Қорақалпоғистон республикаси</t>
  </si>
  <si>
    <t>177 х-с от 17.11.2021</t>
  </si>
  <si>
    <t>02.12.2021 – 05.12.2021</t>
  </si>
  <si>
    <t>Фаргона вилояти</t>
  </si>
  <si>
    <t>185 х-с от 02.12.2021</t>
  </si>
  <si>
    <t>12.12.2021 – 18.12.2021</t>
  </si>
  <si>
    <t>Самарканд вилояти</t>
  </si>
  <si>
    <t>№345 от 30.09.2021 г. №416 от 01.12.2021 г.</t>
  </si>
  <si>
    <t>17.12.2021 – 22.12.2021</t>
  </si>
  <si>
    <t>Қорақалпоғистон республикаси, Бухоро вилояти</t>
  </si>
  <si>
    <t>191 х-с от 15.12.2021</t>
  </si>
  <si>
    <t>25.11.2021 – 26.11.2021</t>
  </si>
  <si>
    <t>Қозоғистон Республикаси Туркистон вилояти</t>
  </si>
  <si>
    <t>№19/2 х-с от 25.11.2021</t>
  </si>
  <si>
    <t>08.12.2021 – 14.12.2021</t>
  </si>
  <si>
    <t>Қорақалпоғистон Республикаси</t>
  </si>
  <si>
    <t>№187/1 х-с 7.12.2021</t>
  </si>
  <si>
    <t>30.11.2021 – 3.12.2021</t>
  </si>
  <si>
    <t>№181 х-с от 26.11.2021</t>
  </si>
  <si>
    <t>28.11.2021 – 29.11.2021</t>
  </si>
  <si>
    <t>Сурхондарё вилояти</t>
  </si>
  <si>
    <t>№182 х-с от 26.11.2021</t>
  </si>
  <si>
    <t>6.12.2021 – 6.12.2021</t>
  </si>
  <si>
    <t>Жиззах вилояти</t>
  </si>
  <si>
    <t>№187 х-с от 6.12.2021</t>
  </si>
  <si>
    <t>01.12.2021 – 05.12.2021</t>
  </si>
  <si>
    <t>№183 х-с от 30.12.2021</t>
  </si>
  <si>
    <t>06.12.2021 – 07.12.2021</t>
  </si>
  <si>
    <t>№186 х-с от 30.12.2021</t>
  </si>
  <si>
    <t>13.12.2021 – 15.12.2021</t>
  </si>
  <si>
    <t>Самарқанд, Жиззах вилояти</t>
  </si>
  <si>
    <t>№188 х-с от 10.12.2021</t>
  </si>
  <si>
    <t>03.12.2021 – 04.12.2021</t>
  </si>
  <si>
    <t>Сирдарё вилояти</t>
  </si>
  <si>
    <t>№185 х-с от 02.12.2021</t>
  </si>
  <si>
    <t>18.11.2021 – 21.11.2021</t>
  </si>
  <si>
    <t>№345 от 30.10.2021</t>
  </si>
  <si>
    <t>№165 от 27.10.2021</t>
  </si>
  <si>
    <t>18.11.2021 – 22.11.2021</t>
  </si>
  <si>
    <t>Бухоро вилояти, Нукус шаҳри</t>
  </si>
  <si>
    <t>№177 от 17.11.2021</t>
  </si>
  <si>
    <t>№174 х-с 12.11.2021</t>
  </si>
  <si>
    <t>№178 х-с 17.11.2021</t>
  </si>
  <si>
    <t>16.11.2021 – 24.11.2021</t>
  </si>
  <si>
    <t>Хоразм, Кашкадарё, Самарканд, Фаргона вилоятлари</t>
  </si>
  <si>
    <t xml:space="preserve">№175 х-с 12.11.2021 </t>
  </si>
  <si>
    <t>01.11.2021 – 11.11.2021</t>
  </si>
  <si>
    <t>Навоий вилояти</t>
  </si>
  <si>
    <t>№370 от 25.10.2021</t>
  </si>
  <si>
    <t>10.11.2021 – 11.11.2021</t>
  </si>
  <si>
    <t>№393 от 08.11.2021</t>
  </si>
  <si>
    <t>27.10.2021 – 02.11.2021</t>
  </si>
  <si>
    <t>Қорақалпоғистон Республикаси, Бухоро вилояти</t>
  </si>
  <si>
    <t>№164-хс 27.10.2021</t>
  </si>
  <si>
    <t>30.10.2021 – 31.10.2021</t>
  </si>
  <si>
    <t>Самарканд, Тошкент вилояти</t>
  </si>
  <si>
    <t>№166-хс 27.10.2021</t>
  </si>
  <si>
    <t>13.11.2021 – 16.11.2021</t>
  </si>
  <si>
    <t>Самарканд  вилояти</t>
  </si>
  <si>
    <t>№174-хс 12.11.2021</t>
  </si>
  <si>
    <t>01.11.2021 – 10.11.2021</t>
  </si>
  <si>
    <t>№370 25.10.2021</t>
  </si>
  <si>
    <t>16.11.2021 – 19.11.2021</t>
  </si>
  <si>
    <t>Андижон вилояти</t>
  </si>
  <si>
    <t>№376 25.10.2021</t>
  </si>
  <si>
    <t>10.11.2021 – 14.11.2021</t>
  </si>
  <si>
    <t>№370  от25.10.2021</t>
  </si>
  <si>
    <t>16.11.2021 – 22.11.2021</t>
  </si>
  <si>
    <t>20.10.2021 – 08.11.2021</t>
  </si>
  <si>
    <t>№160 х-с                                  от 18.10.2021</t>
  </si>
  <si>
    <t>15.11.2021 – 20.11.2021</t>
  </si>
  <si>
    <t>Сурхандарё вилояти</t>
  </si>
  <si>
    <t>№172 х-с                                  от 11.11.2021</t>
  </si>
  <si>
    <t>13.11.2021 – 17.11.2021</t>
  </si>
  <si>
    <t>Кашкадарё вилояти</t>
  </si>
  <si>
    <t>№173 х-с                                       от 12.11.2021</t>
  </si>
  <si>
    <t>08.11.2021 – 14.11.2021</t>
  </si>
  <si>
    <t>№169/1 х-с                                  от 08.11.2021</t>
  </si>
  <si>
    <t>№176 х-с                                  от 13.11.2021</t>
  </si>
  <si>
    <t>07.11.2021 – 12.11.2021</t>
  </si>
  <si>
    <t>Қашқадарё вилояти</t>
  </si>
  <si>
    <t>№169 х-с                            от 05.11.2021</t>
  </si>
  <si>
    <t>28.09.2021 – 29.10.2021</t>
  </si>
  <si>
    <t>№151 х-с 27.09.2021</t>
  </si>
  <si>
    <t>13.10.2021 – 19.10.2021</t>
  </si>
  <si>
    <t>№156 х-с 11.10.2021</t>
  </si>
  <si>
    <t>15.10.2021 – 19.10.2021</t>
  </si>
  <si>
    <t>№158 х-с 14.10.2021</t>
  </si>
  <si>
    <t>27.10.2021 – 19.10.2021</t>
  </si>
  <si>
    <t>Бухоро вилояти Қорақалпоғистон Республикаси</t>
  </si>
  <si>
    <t>№164 х-с 27.10.2021</t>
  </si>
  <si>
    <t>13.10.2021 – 29.10.2021</t>
  </si>
  <si>
    <t>Навоий, Жиззах вилояти</t>
  </si>
  <si>
    <t>№345  30.09.2021</t>
  </si>
  <si>
    <t>05.10.2021 – 09.10.2021</t>
  </si>
  <si>
    <t>Самарқанд вилояти</t>
  </si>
  <si>
    <t>№154 х-с  04.10.2021</t>
  </si>
  <si>
    <t>18.10.2021 – 20.10.2021</t>
  </si>
  <si>
    <t>№362 18.10.2021</t>
  </si>
  <si>
    <t>13.09.2021 – 22.09.2021</t>
  </si>
  <si>
    <t>№321 х-с 09.09.2021</t>
  </si>
  <si>
    <t xml:space="preserve">23.09.2021 – 04.10.2021 – </t>
  </si>
  <si>
    <t>№147 х-с 10.09.2021</t>
  </si>
  <si>
    <t>13.10.2021 – 28.10.2021</t>
  </si>
  <si>
    <t>Навоий, Қашқадарё вилоятлари</t>
  </si>
  <si>
    <t>№345 от 30.09.2021</t>
  </si>
  <si>
    <t>16.10.2021 – 22.10.2021</t>
  </si>
  <si>
    <t>№147 х-с 10.09.2021, №162 х-с 19.10.2021 г.</t>
  </si>
  <si>
    <t>22.10.2021 – 26.10.2021</t>
  </si>
  <si>
    <t>Узбекистон Республикаси ҳудудида</t>
  </si>
  <si>
    <t>№161 х-с 18.10.2021</t>
  </si>
  <si>
    <t>14.09.2021 – 19.09.2021</t>
  </si>
  <si>
    <t>Наманган вилояти</t>
  </si>
  <si>
    <t>№148 х-с 13.09.2021</t>
  </si>
  <si>
    <t xml:space="preserve">28.09.2021 – 09.10.2021 – </t>
  </si>
  <si>
    <t>№147 х-с 10.09.2022</t>
  </si>
  <si>
    <t>08.10.2021 – 10.10.2021</t>
  </si>
  <si>
    <t>№155 х-с 06.10.2021</t>
  </si>
  <si>
    <t>02.10.2021 – 05.10.2021</t>
  </si>
  <si>
    <t>№152 х-с 28.09.2021</t>
  </si>
  <si>
    <t>13.09.2021 – 26.09.2021</t>
  </si>
  <si>
    <t>№321 от 09.09.2021</t>
  </si>
  <si>
    <t>10.09.2021 – 14.10.2021</t>
  </si>
  <si>
    <t>№146 х-с от 08.09.2021</t>
  </si>
  <si>
    <t>13.09.2021 – 09.10.2021</t>
  </si>
  <si>
    <t>23.06.2021 – 25.06.2021</t>
  </si>
  <si>
    <t>№122 х-с 15.06.2021</t>
  </si>
  <si>
    <t>13.09.2021 – 23.09.2021</t>
  </si>
  <si>
    <t>09.09.2021 – 13.09.2021</t>
  </si>
  <si>
    <t xml:space="preserve"> Сурхандарё  вилояти</t>
  </si>
  <si>
    <t>№146/1 х-с 08.09.2021</t>
  </si>
  <si>
    <t>15.09.2021 – 17.09.2021</t>
  </si>
  <si>
    <t>№148 с-х 13.09.2021</t>
  </si>
  <si>
    <t>15.09.2021 – 19.09.2021</t>
  </si>
  <si>
    <t>13.09.2021 – 18.09.2021</t>
  </si>
  <si>
    <t>Жиззах Вилояти</t>
  </si>
  <si>
    <t>12.09.2021 – 22.09.2021</t>
  </si>
  <si>
    <t>№147 с-х 10.09.2022</t>
  </si>
  <si>
    <t xml:space="preserve">Фарғона вилояти </t>
  </si>
  <si>
    <t>22.09.2021 – 27.09.2021</t>
  </si>
  <si>
    <t>№334 21.09.2021</t>
  </si>
  <si>
    <t>10.08.2021 – 25.08.2021</t>
  </si>
  <si>
    <t>Кашкадарё, Сурхандарё  вилояти</t>
  </si>
  <si>
    <t>№136 х-с 09.08.2021</t>
  </si>
  <si>
    <t>31.07.2021 – 04.08.2021</t>
  </si>
  <si>
    <t>№255   30.06.2021</t>
  </si>
  <si>
    <t>21.06.2021 – 28.06.2021</t>
  </si>
  <si>
    <t>Хоразм вилояти</t>
  </si>
  <si>
    <t>№114 с-х 18.06.2021</t>
  </si>
  <si>
    <t>16.08.2021 – 30.08.2021</t>
  </si>
  <si>
    <t>№255  от 30.06.2021</t>
  </si>
  <si>
    <t>07.08.2021 – 25.08.2021</t>
  </si>
  <si>
    <t>№135 х-с от 04.08.2021   №144 х-с от 20.08.2021</t>
  </si>
  <si>
    <t>30.08.2021 – 31.08.2021</t>
  </si>
  <si>
    <t>№145 х-с 20.08.2021</t>
  </si>
  <si>
    <t>09.07.2021 – 11.07.2021</t>
  </si>
  <si>
    <t>Фаргона  вилояти</t>
  </si>
  <si>
    <t>№124/1 х-с 07.07.2021</t>
  </si>
  <si>
    <t>29.07.2021 – 31.07.2021</t>
  </si>
  <si>
    <t>Бухоро  вилояти</t>
  </si>
  <si>
    <t>№132 х-с 29.07.2021</t>
  </si>
  <si>
    <t>21.07.2021 – 22.07.2021</t>
  </si>
  <si>
    <t>Қорақолпоғистон Республикаси</t>
  </si>
  <si>
    <t>№127/1 х-с 19.07.2021</t>
  </si>
  <si>
    <t>16.08.2021 – 18.08.2021</t>
  </si>
  <si>
    <t>Қорақолпоғистон Республикаси Хоразм вилояти</t>
  </si>
  <si>
    <t>№142 х-с 16.08.2021</t>
  </si>
  <si>
    <t>13.08.2021 – 18.08.2021</t>
  </si>
  <si>
    <t>Фарғона вилояти</t>
  </si>
  <si>
    <t>№140 х-с 12.08.2021</t>
  </si>
  <si>
    <t>22.07.2021 – 24.07.2021</t>
  </si>
  <si>
    <t>Самарқанд, Сирдарё, Жиззах  вилояти</t>
  </si>
  <si>
    <t>№128 х-с 22.07.2021</t>
  </si>
  <si>
    <t>Тошкент вилояти</t>
  </si>
  <si>
    <t>№137/1 х-с 10.08.2021</t>
  </si>
  <si>
    <t>№138 х-с 11.08.2021</t>
  </si>
  <si>
    <t>13.08.2021 – 14.08.2021</t>
  </si>
  <si>
    <t>№141 х-с 12.08.2021</t>
  </si>
  <si>
    <t>№130 х-с 27.07.2021</t>
  </si>
  <si>
    <t>31.07.2021 – 03.08.2021</t>
  </si>
  <si>
    <t>Фарғона, Андижон, Наманган вилояти</t>
  </si>
  <si>
    <t>№2 от 25.01.2021</t>
  </si>
  <si>
    <t>12.08.2021 – 17.08.2021</t>
  </si>
  <si>
    <t>№139 х-с от 11.08.2021</t>
  </si>
  <si>
    <t>17.08.2021 – 18.08.2021</t>
  </si>
  <si>
    <t>Наманган  вилояти</t>
  </si>
  <si>
    <t>№133 х-с 02.08.2021</t>
  </si>
  <si>
    <t>04.08.2021 – 15.08.2021</t>
  </si>
  <si>
    <t>12.07.2021 – 14.07.2021</t>
  </si>
  <si>
    <t>№126 х-с 10.07.2021</t>
  </si>
  <si>
    <t>06.08.2021 – 07.08.2021</t>
  </si>
  <si>
    <t>№136 х-с 05.08.2021</t>
  </si>
  <si>
    <t>03.06.2021 – 05.06.2021</t>
  </si>
  <si>
    <t>№122 х-с 02.06.2021</t>
  </si>
  <si>
    <t>29.07.2021 – 30.07.2021</t>
  </si>
  <si>
    <t>Бухоро Навоий вилояти</t>
  </si>
  <si>
    <t>03.08.2021 – 04.08.2021</t>
  </si>
  <si>
    <t>27.07.2021 – 02.08.2021</t>
  </si>
  <si>
    <t>Навоий, Бухоро вилояти</t>
  </si>
  <si>
    <t>№255 от 30.06.2021</t>
  </si>
  <si>
    <t>18.06.2021 – 20.06.2021</t>
  </si>
  <si>
    <t xml:space="preserve">№113 х-с 15.06.2021 </t>
  </si>
  <si>
    <t>13.07.2021 – 18.07.2021</t>
  </si>
  <si>
    <t>№266  от 09.07.2021 г.</t>
  </si>
  <si>
    <t>10.07.2021 – 17.07.2022</t>
  </si>
  <si>
    <t>№263 от 01.07.2021 г.</t>
  </si>
  <si>
    <t>12.07.2021 – 16.07.2021</t>
  </si>
  <si>
    <t>06.07.2021 – 08.07.2021</t>
  </si>
  <si>
    <t>№119 х-с от 29.06.2021 г.</t>
  </si>
  <si>
    <t>30.06.2021 – 03.07.2021</t>
  </si>
  <si>
    <t>Фарғона,Наманган вилоятлари</t>
  </si>
  <si>
    <t>13.06.2021 – 14.06.2021</t>
  </si>
  <si>
    <t>Андижон  вилояти</t>
  </si>
  <si>
    <t>№105 х-с от 04.06.2021 г.</t>
  </si>
  <si>
    <t>28.06.2021 – 29.06.2021</t>
  </si>
  <si>
    <t>№117 х-с от 25.06.2021 г.</t>
  </si>
  <si>
    <t>14.07.2021 – 18.07.2021</t>
  </si>
  <si>
    <t>№266 от 09.07.2021 г.</t>
  </si>
  <si>
    <t>02.07.2021 – 02.07.2021</t>
  </si>
  <si>
    <t>№121 х-с 01.07.2021</t>
  </si>
  <si>
    <t>30.06.2021 – 30.06.2021</t>
  </si>
  <si>
    <t>№120 х-с 29.06.2021</t>
  </si>
  <si>
    <t>07.07.2021 – 17.07.2021</t>
  </si>
  <si>
    <t>№263 от 01.07.2021</t>
  </si>
  <si>
    <t>02.06.2021 – 16.06.2021</t>
  </si>
  <si>
    <t>Андижон, Наманган, Фарғона, Жиззах вилояти</t>
  </si>
  <si>
    <t>№103 х-с от 01.06.2021 г.</t>
  </si>
  <si>
    <t>Навоий  вилояти</t>
  </si>
  <si>
    <t>№116 х-с  от 22.06.2021 г</t>
  </si>
  <si>
    <t>№110 х-с  от 07.06.2021 г</t>
  </si>
  <si>
    <t>Сирдарё, Жиззах,Самарканд Бухоро Хоразм вилояти, Қорақолпоғистон Рес-си</t>
  </si>
  <si>
    <t>№95 х-с  от 21.05.2021 г</t>
  </si>
  <si>
    <t>№106 х-с  от 01.06.2021 г</t>
  </si>
  <si>
    <t>№111 х-с  от 25.03.2021 г</t>
  </si>
  <si>
    <t>№139   от 16.04.2021 г</t>
  </si>
  <si>
    <t>№140  от 16.04.2021 г</t>
  </si>
  <si>
    <t>Сурхандарё  вилояти</t>
  </si>
  <si>
    <t>№220 х-с  от 07.06.2021 г</t>
  </si>
  <si>
    <t>№111 х-с  от 12.06.2021 г</t>
  </si>
  <si>
    <t>16.06.2021 – 20.06.2023</t>
  </si>
  <si>
    <t>Сирдарё, Жиззах, Самарқанд вилояти</t>
  </si>
  <si>
    <t>№86 х-с от 10.05.2021 г.</t>
  </si>
  <si>
    <t>Навоий, Бухоро  вилояти</t>
  </si>
  <si>
    <t>04.06.2021 – 06.06.2021</t>
  </si>
  <si>
    <t>Жиззах  вилояти</t>
  </si>
  <si>
    <t>№106 х-с  от 04.06.2021 г</t>
  </si>
  <si>
    <t xml:space="preserve">08.06.2021 – 11.06.2021 – </t>
  </si>
  <si>
    <t>Қорақалпоғистон, Хоразм вилоятлари</t>
  </si>
  <si>
    <t>№109 х-с от 07.06.2021 г</t>
  </si>
  <si>
    <t>№100 х-с от 28.05.2021 г.</t>
  </si>
  <si>
    <t>Қашқадарё, Самарқанд вилояти</t>
  </si>
  <si>
    <t>№85 х-с от 03.05.2021 г.</t>
  </si>
  <si>
    <t>№69 х-с от 19.04.2021 г.</t>
  </si>
  <si>
    <t>№94 х-с от 17.05.2021 г.</t>
  </si>
  <si>
    <t>06.05.2021 – 09.05.2021</t>
  </si>
  <si>
    <t>Қорақалпоғистон  Республикаси</t>
  </si>
  <si>
    <t>№86 х-с от 03.05.2021 г.</t>
  </si>
  <si>
    <t>18.05.2021 – 19.05.2021</t>
  </si>
  <si>
    <t>Фарғона  вилояти</t>
  </si>
  <si>
    <t>31.05.2021 – 04.06.2021</t>
  </si>
  <si>
    <t>04.06.2021 – 07.06.2021</t>
  </si>
  <si>
    <t>№107 х-с от 04.06.2021 г.</t>
  </si>
  <si>
    <t>25.05.2021 – 26.05.2021</t>
  </si>
  <si>
    <t>№197  от 18.05.2021 г.</t>
  </si>
  <si>
    <t>01.06.2021 – 04.06.2021</t>
  </si>
  <si>
    <t>№198  от 18.05.2021 г.</t>
  </si>
  <si>
    <t>27.05.2021 – 29.05.2021</t>
  </si>
  <si>
    <t>№99 х-с от 27.05.2021 г.</t>
  </si>
  <si>
    <t>19.05.2021 – 28.05.2021</t>
  </si>
  <si>
    <t>Самарканд, Навоий вилояти</t>
  </si>
  <si>
    <t>№193 №194-1 от 12.05.2021 г</t>
  </si>
  <si>
    <t>04.05.2021 – 08.05.2021</t>
  </si>
  <si>
    <t xml:space="preserve"> Навоий вилояти</t>
  </si>
  <si>
    <t>№80 х-с от 30.04.2021 г</t>
  </si>
  <si>
    <t>06.05.2021 – 12.05.2021</t>
  </si>
  <si>
    <t>№141 от 16.04.2021 г</t>
  </si>
  <si>
    <t>19.05.2021 – 21.05.2021</t>
  </si>
  <si>
    <t>№195 от 18.05.2021 г</t>
  </si>
  <si>
    <t>15.12.2020 – 24.12.2020</t>
  </si>
  <si>
    <t>Тошкент вимлояти</t>
  </si>
  <si>
    <t>№354 от 11.12.2020 г.</t>
  </si>
  <si>
    <t>03.06.2021 – 06.06.2021</t>
  </si>
  <si>
    <t>№102 х-с от 01.06.2021 г</t>
  </si>
  <si>
    <t>28.05.2021 – 28.05.2021</t>
  </si>
  <si>
    <t>№98 х-с от 27.05.2021 г</t>
  </si>
  <si>
    <t xml:space="preserve">02.06.2021 – 05.06.2021 – </t>
  </si>
  <si>
    <t>№104 х-с от 01.06.2021 г</t>
  </si>
  <si>
    <t xml:space="preserve">24.05.2021 – 05.06.2021 – </t>
  </si>
  <si>
    <t>Кашкадарё ва Сурхандарё вилоятлари</t>
  </si>
  <si>
    <t>№97 х-с от 23.05.2021 г</t>
  </si>
  <si>
    <t>09.05.2021 – 12.05.2021</t>
  </si>
  <si>
    <t>19.05.2021 – 22.05.2021</t>
  </si>
  <si>
    <t>№93 х-с от 17.05.2021 г</t>
  </si>
  <si>
    <t>28.05.2021 – 29.05.2021</t>
  </si>
  <si>
    <t>Жиззах Қашқадарё вилоятлари</t>
  </si>
  <si>
    <t>07.06.2021 – 09.06.2022</t>
  </si>
  <si>
    <t>№105 х-с от 04.06.2021 г</t>
  </si>
  <si>
    <t>25.05.2021 – 12.06.2021</t>
  </si>
  <si>
    <t>№90 х-с от 21.05.2021 г</t>
  </si>
  <si>
    <t>04.05.2021 – 09.05.2021</t>
  </si>
  <si>
    <t>№82 х-с от 03.05.2021 г</t>
  </si>
  <si>
    <t>04.05.2021 – 14.05.2021</t>
  </si>
  <si>
    <t>21.04.2021 – 08.05.2021</t>
  </si>
  <si>
    <t>Фарғона,Андижон,Наманган вилоятлари</t>
  </si>
  <si>
    <t>№83 х-с от 04.05.2021. №148 от 19.04.2021г. №143 16.04.2021 г.</t>
  </si>
  <si>
    <t>21.04.2021 – 26.04.2021</t>
  </si>
  <si>
    <t>№71 х-с от 20.04.2021 г.</t>
  </si>
  <si>
    <t>22.04.2021 – 23.04.2021</t>
  </si>
  <si>
    <t>№63 х-с от 14.04.2021 г.</t>
  </si>
  <si>
    <t>05.05.2021 – 08.05.2022</t>
  </si>
  <si>
    <t xml:space="preserve">№177 х-с от 04.05.2021г. </t>
  </si>
  <si>
    <t>20.05.2021 – 24.05.2021</t>
  </si>
  <si>
    <t>№87 х-с от 11.05.2021 г</t>
  </si>
  <si>
    <t>09.05.2021 – 11.05.2021</t>
  </si>
  <si>
    <t xml:space="preserve">№83 х-с от 08.05.2021г. </t>
  </si>
  <si>
    <t>03.05.2021 – 04.05.2022</t>
  </si>
  <si>
    <t xml:space="preserve">№77 х-с от 30.04.2021г. </t>
  </si>
  <si>
    <t>06.05.2021 – 07.05.2022</t>
  </si>
  <si>
    <t xml:space="preserve">№79 х-с от 30.04.2021г. </t>
  </si>
  <si>
    <t xml:space="preserve">№83 х-с от 04.05.2021г. </t>
  </si>
  <si>
    <t>№84 х-с от 03.05.2021 г</t>
  </si>
  <si>
    <t>04.05.2021 – 07.05.2021</t>
  </si>
  <si>
    <t>№81 х-с от 04.05.2021 г</t>
  </si>
  <si>
    <t>№83 х-с от 04.05.2021. №148 от 19.04.2021г.</t>
  </si>
  <si>
    <t>№83 х-с от 04.05.2021</t>
  </si>
  <si>
    <t>№181 от 05.05.2021</t>
  </si>
  <si>
    <t>№142 от 16.04.2021</t>
  </si>
  <si>
    <t>27.04.2021 – 30.04.2021</t>
  </si>
  <si>
    <t>№74 х-с от 26.04.2021</t>
  </si>
  <si>
    <t>№78 х-с от 30.04.2021</t>
  </si>
  <si>
    <t>26.04.2021 – 04.05.2021</t>
  </si>
  <si>
    <t>№140 от 16.04.2021</t>
  </si>
  <si>
    <t>19.04.2021 – 23.04.2021</t>
  </si>
  <si>
    <t>№139 от 16.04.2021</t>
  </si>
  <si>
    <t>02.05.2021 – 04.05.2021</t>
  </si>
  <si>
    <t>№78 х-с от 30.04.2021 г.</t>
  </si>
  <si>
    <t>№83 х-с от 03.05.2021 г.</t>
  </si>
  <si>
    <t>22.04.2021 – 24.04.2021</t>
  </si>
  <si>
    <t xml:space="preserve"> Сирдарё вилояти </t>
  </si>
  <si>
    <t>№68 х-с от 16.04.2021 г</t>
  </si>
  <si>
    <t>31.03.2021 – 24.04.2021</t>
  </si>
  <si>
    <t>№51 х/с от 31.03.2021 г.</t>
  </si>
  <si>
    <t>21.04.2021 – 30.04.2021</t>
  </si>
  <si>
    <t>№142 от 16.04.2021 г.</t>
  </si>
  <si>
    <t>20.04.2021 – 22.04.2021</t>
  </si>
  <si>
    <t>21.04.2021 – 24.04.2021</t>
  </si>
  <si>
    <t>№70 х-с от 20.04.2021 г.</t>
  </si>
  <si>
    <t>Жиззах,  вилояти</t>
  </si>
  <si>
    <t>№74 х-с от 26.04.2021 г.</t>
  </si>
  <si>
    <t>17.04.2021 – 19.04.2021</t>
  </si>
  <si>
    <t>Жиззах, Самарканд вилояти</t>
  </si>
  <si>
    <t>№65 х-с от 15.04.2021 г.</t>
  </si>
  <si>
    <t>Наманган, Андижон вилоятлари</t>
  </si>
  <si>
    <t>75 х-с от 28.04.2021 г.</t>
  </si>
  <si>
    <t>73 х-с от 23.04.2021 г.</t>
  </si>
  <si>
    <t>08.04.2021 – 09.04.2021</t>
  </si>
  <si>
    <t xml:space="preserve"> Қашқадарё вилояти </t>
  </si>
  <si>
    <t>№56 х-с от 07.04.2021 г</t>
  </si>
  <si>
    <t>01.04.2021 – 02.04.2021</t>
  </si>
  <si>
    <t>№54 х-с от 31.03.2021 г</t>
  </si>
  <si>
    <t>13.04.2021 – 18.04.2021</t>
  </si>
  <si>
    <t xml:space="preserve">Самарқанд вилояти </t>
  </si>
  <si>
    <t>№62 х-с от 12.04.2021 г</t>
  </si>
  <si>
    <t>11.04.2021 – 16.04.2021</t>
  </si>
  <si>
    <t>№60 х-с от 09.04.2021 г</t>
  </si>
  <si>
    <t>07.04.2021 – 17.04.2021</t>
  </si>
  <si>
    <t>№61 х-с от 12.04.2021 г</t>
  </si>
  <si>
    <t>31.03.2021 – 11.04.2021</t>
  </si>
  <si>
    <t>№51 х-с от 31.03.2021 г.</t>
  </si>
  <si>
    <t xml:space="preserve"> Сухандарё вилояти </t>
  </si>
  <si>
    <t>19.04.2021 – 20.04.2021</t>
  </si>
  <si>
    <t>01.04.2021 – 09.04.2021</t>
  </si>
  <si>
    <t xml:space="preserve"> Сурхондарё вилояти </t>
  </si>
  <si>
    <t>№118 от 27.03.2021 г.</t>
  </si>
  <si>
    <t>02.03.2021 – 06.03.2022</t>
  </si>
  <si>
    <t>№65от 25.02.2021 г.</t>
  </si>
  <si>
    <t>№117 от 27.03.2021 г.</t>
  </si>
  <si>
    <t xml:space="preserve">Кашкадарё, Сурхондарё вилояти </t>
  </si>
  <si>
    <t>№51 х-с 31.03.2021 г.</t>
  </si>
  <si>
    <t>Қорақалпоғистон.Рес-си . Хоразм, Бухоро, Навоий</t>
  </si>
  <si>
    <t>№49 х-с 27.03.2021 г.</t>
  </si>
  <si>
    <t>31.03.2021 – 08.04.2021</t>
  </si>
  <si>
    <t xml:space="preserve">Навоий вилояти </t>
  </si>
  <si>
    <t>№116  26.03.2021 г.</t>
  </si>
  <si>
    <t>№37 х-с 03.03.2021 г. №56 х-с 08.04.2021 г.</t>
  </si>
  <si>
    <t>13.03.2021 – 15.03.2021</t>
  </si>
  <si>
    <t>№42 х-с 12.03.2021 г.</t>
  </si>
  <si>
    <t xml:space="preserve">Самарканд, Навоий вилояти </t>
  </si>
  <si>
    <t>№53 х-с от 31.03.2021 г.</t>
  </si>
  <si>
    <t>10.04.2021 – 12.04.2021</t>
  </si>
  <si>
    <t xml:space="preserve">Самарканд  вилояти </t>
  </si>
  <si>
    <t>№59 х-с от 09.04.2021 г.</t>
  </si>
  <si>
    <t>06.04.2021 – 08.04.2021</t>
  </si>
  <si>
    <t>№55 х-с от 05.04.2021 г.</t>
  </si>
  <si>
    <t>№39 х-с от 09.03.2021 г.</t>
  </si>
  <si>
    <t>24.12.2020 – 25.12.2020</t>
  </si>
  <si>
    <t>№164 х-с 21.12.2020 г.</t>
  </si>
  <si>
    <t>08.12.2020 – 14.12.2020</t>
  </si>
  <si>
    <t>№159 х-с 07.12.2020 г.</t>
  </si>
  <si>
    <t>18.03.2021 – 22.03.2020</t>
  </si>
  <si>
    <t xml:space="preserve">Қорақалпоғистон Республикаси </t>
  </si>
  <si>
    <t>№43 х-с от 15.03.2021 г.</t>
  </si>
  <si>
    <t>№41 х-с  от 11.03.2021</t>
  </si>
  <si>
    <t>№96 от 16.03.2021 г.</t>
  </si>
  <si>
    <t>09.03.2021 – 12.03.2021</t>
  </si>
  <si>
    <t>№23-х-с 12.02.2021 г.</t>
  </si>
  <si>
    <t>23.03.2021 – 26.03.2021</t>
  </si>
  <si>
    <t>Қорақалпоғистон рес. Хоразм вилояти</t>
  </si>
  <si>
    <t>№82 от 11.03.2021 г.</t>
  </si>
  <si>
    <t>22.02.2021 – 01.03.2021</t>
  </si>
  <si>
    <t>Сурхандарё,Қашқадарё, Бухоро, Навоий вилоятлари</t>
  </si>
  <si>
    <t>02.03.2021 – 11.03.2021</t>
  </si>
  <si>
    <t>№66 от 25.02.2021 г.</t>
  </si>
  <si>
    <t>05.03.2021 – 08.03.2021</t>
  </si>
  <si>
    <t>№32 х-с 22.02.2021 г.</t>
  </si>
  <si>
    <t>02.03.2021 – 06.03.2021</t>
  </si>
  <si>
    <t>№65 от 25.02.2021 г.</t>
  </si>
  <si>
    <t>№34 х-с 28.02.2021 г.</t>
  </si>
  <si>
    <t>08.02.2021 – 11.02.2021</t>
  </si>
  <si>
    <t>Қорақалпоғистон Республикаси, Хоразм  вилоятлари</t>
  </si>
  <si>
    <t>№19 х-с от 05.02.2021 г.</t>
  </si>
  <si>
    <t>18.01.2021 – 23.01.2021</t>
  </si>
  <si>
    <t>Сурхандарё Бухоро вилоятлари</t>
  </si>
  <si>
    <t>№09 х-с  от 18.01.2021 г</t>
  </si>
  <si>
    <t>02.02.2021 – 06.02.2021</t>
  </si>
  <si>
    <t>№16 х-с  от 01.02.2021 г</t>
  </si>
  <si>
    <t>12.02.2021 – 14.02.2021</t>
  </si>
  <si>
    <t xml:space="preserve">Самарқанд  вилоятлари </t>
  </si>
  <si>
    <t>№20 х-с от 11.02.2021 г.</t>
  </si>
  <si>
    <t>Смарқанд вилояти</t>
  </si>
  <si>
    <t>№20 х-с 11.02.2021 г.</t>
  </si>
  <si>
    <t>30.12.2020 – 04.01.2021</t>
  </si>
  <si>
    <t xml:space="preserve">Қорақалпоғистон Республикасига </t>
  </si>
  <si>
    <t>№165 х-с от 29.12.2020 г.</t>
  </si>
  <si>
    <t>№24 х-с  от 12.02.2021</t>
  </si>
  <si>
    <t>№17 х-с от 01.02.2021</t>
  </si>
  <si>
    <t>№ 27 х-с от 17.02.2021</t>
  </si>
  <si>
    <t>20.01.2021 – 27.01.2021</t>
  </si>
  <si>
    <t>Сурхондарё  вилояти</t>
  </si>
  <si>
    <t>№ 01 х-с от 08.01.2021 г</t>
  </si>
  <si>
    <t>18.02.2021 – 21.02.2021</t>
  </si>
  <si>
    <t>№26 х-с от 16.02.2021 г.</t>
  </si>
  <si>
    <t>15.02.2021 – 18.02.2021</t>
  </si>
  <si>
    <t xml:space="preserve">Самарқанд Жиззах Сирдарё вилоятлари </t>
  </si>
  <si>
    <t>№23 х-с от 12.02.2021 г.</t>
  </si>
  <si>
    <t>№21 х-с от 12.02.2021 г.</t>
  </si>
  <si>
    <t>№15 х-с от 01.02.2021 г.</t>
  </si>
  <si>
    <t>02.02.2021 – 03.02.2021</t>
  </si>
  <si>
    <t>11.01.2021 – 19.01.2021</t>
  </si>
  <si>
    <t xml:space="preserve">Жиззах вилояти </t>
  </si>
  <si>
    <t>№01 х-с от 08.01.2021 г.</t>
  </si>
  <si>
    <t>15.02.2021 – 16.02.2021</t>
  </si>
  <si>
    <t>12.01.2021 – 28.01.2021</t>
  </si>
  <si>
    <t>19.02.2021 – 20.02.2021</t>
  </si>
  <si>
    <t>№25 х-с от 17.02.2021 г.</t>
  </si>
  <si>
    <t>13.01.2021 – 29.01.2021</t>
  </si>
  <si>
    <t>19.02.2021 – 05.03.2021</t>
  </si>
  <si>
    <t>01.03.2021 – 08.03.2021</t>
  </si>
  <si>
    <t>№34 х-с от 28.02.2021 г.</t>
  </si>
  <si>
    <t>19.02.2021 – 27.02.2021</t>
  </si>
  <si>
    <t>№25 х-с от 29.09.2021 г.</t>
  </si>
  <si>
    <t>21.01.2021 – 28.01.2021</t>
  </si>
  <si>
    <t>12.01.2021 – 19.01.2021</t>
  </si>
  <si>
    <t>26.01.2021 – 03.02.2021</t>
  </si>
  <si>
    <t xml:space="preserve">№66 от 25.02.2021 г. </t>
  </si>
  <si>
    <t xml:space="preserve">№25 х-с от 30.01.2021 г. </t>
  </si>
  <si>
    <t>20.01.2021 – 23.01.2021</t>
  </si>
  <si>
    <t>№10 х-с    18.01.2021 г.</t>
  </si>
  <si>
    <t>25.01.2021 – 28.01.2021</t>
  </si>
  <si>
    <t>12.01.2021 – 22.01.2021</t>
  </si>
  <si>
    <t>27.01.2021 – 28.01.2021</t>
  </si>
  <si>
    <t>№13 х-с от 25.01.2021 г.</t>
  </si>
  <si>
    <t>23.01.2021 – 28.01.2021</t>
  </si>
  <si>
    <t>№12 х-с от 12.01.2021 г.</t>
  </si>
  <si>
    <t>02.03.2021 – 07.03.2021</t>
  </si>
  <si>
    <t>№22 х-с от 12.02.2021 г.</t>
  </si>
  <si>
    <t>№04 х-с от 11.01.2021 г.</t>
  </si>
  <si>
    <t>№22 х-с от 12.01.2021 г.</t>
  </si>
  <si>
    <t>16.11.2020 – 22.11.2020</t>
  </si>
  <si>
    <t>№ 144 х-с от 09.11.2020 г</t>
  </si>
  <si>
    <t>14.12.2020 – 17.12.2020</t>
  </si>
  <si>
    <t>№ 160 х-с от 11.12.2020 г</t>
  </si>
  <si>
    <t>25.12.2020 – 29.12.2020</t>
  </si>
  <si>
    <t>№ 163 х-с от 16.12.2020 г</t>
  </si>
  <si>
    <t>17.12.2020 – 18.12.2020</t>
  </si>
  <si>
    <t>03.01.2021 – 04.01.2021</t>
  </si>
  <si>
    <t>№ 166 х-с от 30.12.2020 г</t>
  </si>
  <si>
    <t>17.12.2020 – 21.12.2020</t>
  </si>
  <si>
    <t>12.01.2021 – 14.01.2021</t>
  </si>
  <si>
    <t>Наманган, Фарғона, Андижон вилоятлари</t>
  </si>
  <si>
    <t>№ 05 х-с от 11.01.2021 г</t>
  </si>
  <si>
    <t>05.01.2021 – 09.01.2021</t>
  </si>
  <si>
    <t>№1 от 04.01.2021 г</t>
  </si>
  <si>
    <t>05.01.2021 – 11.01.2021</t>
  </si>
  <si>
    <t>12.01.2021 – 17.01.2021</t>
  </si>
  <si>
    <t>Навоий Бухоро вилоятлари</t>
  </si>
  <si>
    <t>№ 383 от 29.12.2020 г</t>
  </si>
  <si>
    <t>13.01.2021 – 14.01.2021</t>
  </si>
  <si>
    <t>№ 04 х-с от 11.01.2021 г</t>
  </si>
  <si>
    <t>14.01.2021 – 15.01.2021</t>
  </si>
  <si>
    <t>№ 07 х-с от 11.01.2021 г</t>
  </si>
  <si>
    <t>11.01.2021 – 15.01.2021</t>
  </si>
  <si>
    <t>Сирдарё, Жиззах, Навоий вилоятлари</t>
  </si>
  <si>
    <t>№ 03 х-с от 08.01.2021 г</t>
  </si>
  <si>
    <t>16.11.2021 –  – 18.11.2021</t>
  </si>
  <si>
    <t>23.06.2021 – 27.06.2021</t>
  </si>
  <si>
    <t>15.06.2021 – 19.06.2021</t>
  </si>
  <si>
    <t>16.06.2021 – 20.06.2021</t>
  </si>
  <si>
    <t>10.06.2021 – 12.06.2021</t>
  </si>
  <si>
    <t>08.06.2021 – 12.06.2021</t>
  </si>
  <si>
    <t>19.04.2021 – 23.04.2022</t>
  </si>
  <si>
    <t>26.04.2021 – 05.05.2023</t>
  </si>
  <si>
    <t>14.06.2021 – 17.06.2021</t>
  </si>
  <si>
    <t>12.06.2021 – 15.06.2022</t>
  </si>
  <si>
    <t>10.05.2021 – 29.05.2021</t>
  </si>
  <si>
    <t>31.05.2021 – 11.06.2021</t>
  </si>
  <si>
    <t>31.05.2021 –  – 04.06.2021</t>
  </si>
  <si>
    <t>04.05.2021 –  – 08.05.2021</t>
  </si>
  <si>
    <t>19.04.2021 –  – 23.04.2021</t>
  </si>
  <si>
    <t>18.05.2021 –  – 19.05.2021</t>
  </si>
  <si>
    <t>05.05.2021 – 08.05.2021</t>
  </si>
  <si>
    <t>29.04.2021 – 01.05.2021</t>
  </si>
  <si>
    <t>31.03.2021 – 09.04.2021</t>
  </si>
  <si>
    <t>23.12.2020 – 24.12.2020</t>
  </si>
  <si>
    <t>13.02.2021 – 17.02.2021</t>
  </si>
  <si>
    <t>11.03.2021 – 16.03.2021</t>
  </si>
  <si>
    <t>18.02.2021 – 19.02.2021</t>
  </si>
  <si>
    <t>13.02.2021 – 18.02.2021</t>
  </si>
  <si>
    <t>14.02.2021 – 19.02.2021</t>
  </si>
  <si>
    <t>03.02.2021 – 05.02.2021</t>
  </si>
  <si>
    <t>24.02.2021 – 27.02.2021</t>
  </si>
  <si>
    <t>23.01.2021 – 26.01.2021</t>
  </si>
  <si>
    <t>24.02.2021 – 28.02.2021</t>
  </si>
  <si>
    <t>04.03.2021 – 08.04.2021</t>
  </si>
  <si>
    <t>10.03.2021 – 11.03.2021</t>
  </si>
  <si>
    <t>Expenses for business trips of officials and the reception of guests from abroad 
(for 12 months 2021)</t>
  </si>
  <si>
    <t>Мансабдор шахсларнинг хизмат сафарлари ва хориждан ташриф буюрган меҳмонларни кутиб олиш харажатлари 
(2021 йил 12 ой давомида)</t>
  </si>
  <si>
    <t>Borish manzili</t>
  </si>
  <si>
    <t>Buyruq № va sana</t>
  </si>
  <si>
    <t xml:space="preserve">Bo‘lgan kunlari </t>
  </si>
  <si>
    <t>Mexmonxona xarajatlari</t>
  </si>
  <si>
    <t>Transport va temir yo‘l</t>
  </si>
  <si>
    <t xml:space="preserve">Aviabilet xarajatlari </t>
  </si>
  <si>
    <t>Jami safar xarajatlar summasi</t>
  </si>
  <si>
    <t>Sutkalik xarajatlari (Sutochnie) (sum)</t>
  </si>
  <si>
    <t>Адрес назначения</t>
  </si>
  <si>
    <t>Транспорт и железная дорога</t>
  </si>
  <si>
    <t>Стоимость авиабилетов</t>
  </si>
  <si>
    <t>Общая сумма командировочных расходов</t>
  </si>
  <si>
    <t>Суточные (сум)</t>
  </si>
  <si>
    <t>Гостинничные расходы</t>
  </si>
  <si>
    <t>Приказ № и дата</t>
  </si>
  <si>
    <t>Дата</t>
  </si>
  <si>
    <t>Дней пребывания</t>
  </si>
  <si>
    <t>Date</t>
  </si>
  <si>
    <t>Destination address</t>
  </si>
  <si>
    <t>Order № and date</t>
  </si>
  <si>
    <t>Days</t>
  </si>
  <si>
    <t>Hotel expenses</t>
  </si>
  <si>
    <t>Daily expenses (sum)</t>
  </si>
  <si>
    <t>Transport and rail expenses</t>
  </si>
  <si>
    <t>Airfare costs</t>
  </si>
  <si>
    <t>The total amount of travel expenses</t>
  </si>
  <si>
    <t>Sanasi</t>
  </si>
  <si>
    <t>.</t>
  </si>
  <si>
    <t>ЖАМИ: / ВСЕГО: / TOTAL: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</si>
</sst>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\ _₽_-;\-* #,##0.0\ _₽_-;_-* &quot;-&quot;??\ _₽_-;_-@_-"/>
    <numFmt numFmtId="166" formatCode="_-* #,##0\ _₽_-;\-* #,##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64" fontId="4" fillId="0" borderId="1" xfId="5" applyFont="1" applyFill="1" applyBorder="1" applyAlignment="1">
      <alignment horizontal="center" vertical="center" wrapText="1"/>
    </xf>
    <xf numFmtId="165" fontId="4" fillId="0" borderId="1" xfId="5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6" fontId="4" fillId="0" borderId="1" xfId="5" applyNumberFormat="1" applyFont="1" applyFill="1" applyBorder="1" applyAlignment="1">
      <alignment horizontal="center" vertical="center" wrapText="1"/>
    </xf>
    <xf numFmtId="164" fontId="4" fillId="0" borderId="1" xfId="6" applyFont="1" applyFill="1" applyBorder="1" applyAlignment="1">
      <alignment horizontal="left" vertical="center" wrapText="1"/>
    </xf>
    <xf numFmtId="166" fontId="4" fillId="0" borderId="1" xfId="6" applyNumberFormat="1" applyFont="1" applyFill="1" applyBorder="1" applyAlignment="1">
      <alignment vertical="center" wrapText="1"/>
    </xf>
    <xf numFmtId="166" fontId="4" fillId="0" borderId="1" xfId="6" applyNumberFormat="1" applyFont="1" applyFill="1" applyBorder="1" applyAlignment="1">
      <alignment horizontal="center" vertical="center" wrapText="1"/>
    </xf>
    <xf numFmtId="3" fontId="11" fillId="0" borderId="1" xfId="5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7" fillId="0" borderId="0" xfId="1" applyFont="1" applyFill="1" applyAlignment="1">
      <alignment horizontal="center" vertical="center" wrapText="1"/>
    </xf>
    <xf numFmtId="0" fontId="9" fillId="0" borderId="0" xfId="0" applyFont="1" applyFill="1"/>
    <xf numFmtId="3" fontId="9" fillId="0" borderId="0" xfId="0" applyNumberFormat="1" applyFont="1" applyFill="1"/>
    <xf numFmtId="0" fontId="9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3" fontId="11" fillId="0" borderId="3" xfId="5" applyNumberFormat="1" applyFont="1" applyFill="1" applyBorder="1" applyAlignment="1">
      <alignment horizontal="center" vertical="center" wrapText="1"/>
    </xf>
    <xf numFmtId="3" fontId="11" fillId="0" borderId="3" xfId="5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5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/>
    </xf>
    <xf numFmtId="3" fontId="8" fillId="0" borderId="1" xfId="5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2" xfId="1"/>
    <cellStyle name="Обычный 4" xfId="2"/>
    <cellStyle name="Обычный 4 2" xfId="3"/>
    <cellStyle name="Обычный 5" xfId="4"/>
    <cellStyle name="Финансовый" xfId="5" builtinId="3"/>
    <cellStyle name="Финансовый 2" xfId="6"/>
    <cellStyle name="Финансовый 4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5"/>
  <sheetViews>
    <sheetView topLeftCell="A23" zoomScale="90" zoomScaleNormal="90" workbookViewId="0">
      <selection activeCell="L5" sqref="L5:L27"/>
    </sheetView>
  </sheetViews>
  <sheetFormatPr defaultRowHeight="14.3"/>
  <cols>
    <col min="1" max="1" width="3.875" style="4" customWidth="1"/>
    <col min="2" max="2" width="12.625" style="4" customWidth="1"/>
    <col min="3" max="3" width="25" style="4" customWidth="1"/>
    <col min="4" max="4" width="16.25" style="4" customWidth="1"/>
    <col min="5" max="5" width="18.875" style="4" customWidth="1"/>
    <col min="6" max="6" width="16.125" style="4" hidden="1" customWidth="1"/>
    <col min="7" max="7" width="15.625" style="4" bestFit="1" customWidth="1"/>
    <col min="8" max="8" width="16.875" style="4" customWidth="1"/>
    <col min="9" max="9" width="16.625" style="4" customWidth="1"/>
    <col min="10" max="10" width="17.25" style="4" hidden="1" customWidth="1"/>
    <col min="11" max="11" width="15.125" style="4" customWidth="1"/>
    <col min="12" max="12" width="20.75" style="4" bestFit="1" customWidth="1"/>
    <col min="13" max="13" width="14.75" style="4" hidden="1" customWidth="1"/>
    <col min="14" max="16384" width="9" style="4"/>
  </cols>
  <sheetData>
    <row r="2" spans="1:13" ht="48.25" customHeight="1">
      <c r="B2" s="12" t="s">
        <v>25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L3" s="13" t="s">
        <v>21</v>
      </c>
      <c r="M3" s="13"/>
    </row>
    <row r="4" spans="1:13" ht="96.45" customHeight="1">
      <c r="A4" s="5" t="s">
        <v>0</v>
      </c>
      <c r="B4" s="5" t="s">
        <v>1</v>
      </c>
      <c r="C4" s="5" t="s">
        <v>2</v>
      </c>
      <c r="D4" s="5" t="s">
        <v>15</v>
      </c>
      <c r="E4" s="5" t="s">
        <v>3</v>
      </c>
      <c r="F4" s="5" t="s">
        <v>4</v>
      </c>
      <c r="G4" s="5" t="s">
        <v>9</v>
      </c>
      <c r="H4" s="5" t="s">
        <v>5</v>
      </c>
      <c r="I4" s="5" t="s">
        <v>6</v>
      </c>
      <c r="J4" s="5" t="s">
        <v>7</v>
      </c>
      <c r="K4" s="5" t="s">
        <v>12</v>
      </c>
      <c r="L4" s="5" t="s">
        <v>8</v>
      </c>
      <c r="M4" s="5" t="s">
        <v>10</v>
      </c>
    </row>
    <row r="5" spans="1:13" ht="114.15">
      <c r="A5" s="5">
        <v>1</v>
      </c>
      <c r="B5" s="1">
        <v>4291000</v>
      </c>
      <c r="C5" s="1" t="s">
        <v>31</v>
      </c>
      <c r="D5" s="2">
        <v>2955000</v>
      </c>
      <c r="E5" s="1" t="s">
        <v>14</v>
      </c>
      <c r="F5" s="3">
        <v>3</v>
      </c>
      <c r="G5" s="2">
        <v>3</v>
      </c>
      <c r="H5" s="2">
        <v>985000</v>
      </c>
      <c r="I5" s="2">
        <f t="shared" ref="I5:I27" si="0">+G5*H5</f>
        <v>2955000</v>
      </c>
      <c r="J5" s="1" t="s">
        <v>11</v>
      </c>
      <c r="K5" s="1" t="s">
        <v>16</v>
      </c>
      <c r="L5" s="1" t="s">
        <v>30</v>
      </c>
      <c r="M5" s="1"/>
    </row>
    <row r="6" spans="1:13" ht="114.15">
      <c r="A6" s="5"/>
      <c r="B6" s="1">
        <v>4291000</v>
      </c>
      <c r="C6" s="1" t="s">
        <v>32</v>
      </c>
      <c r="D6" s="2">
        <f>+I6</f>
        <v>9855000</v>
      </c>
      <c r="E6" s="1" t="s">
        <v>14</v>
      </c>
      <c r="F6" s="3">
        <v>9</v>
      </c>
      <c r="G6" s="2">
        <v>9</v>
      </c>
      <c r="H6" s="2">
        <v>1095000</v>
      </c>
      <c r="I6" s="2">
        <f>+G6*H6</f>
        <v>9855000</v>
      </c>
      <c r="J6" s="1" t="s">
        <v>11</v>
      </c>
      <c r="K6" s="1" t="s">
        <v>16</v>
      </c>
      <c r="L6" s="1" t="s">
        <v>30</v>
      </c>
      <c r="M6" s="1"/>
    </row>
    <row r="7" spans="1:13" ht="28.55">
      <c r="A7" s="5"/>
      <c r="B7" s="1">
        <v>4354920</v>
      </c>
      <c r="C7" s="1" t="s">
        <v>34</v>
      </c>
      <c r="D7" s="2">
        <v>45000000</v>
      </c>
      <c r="E7" s="1" t="s">
        <v>14</v>
      </c>
      <c r="F7" s="3">
        <v>3</v>
      </c>
      <c r="G7" s="2">
        <v>3</v>
      </c>
      <c r="H7" s="2">
        <v>12900000</v>
      </c>
      <c r="I7" s="2">
        <f t="shared" si="0"/>
        <v>38700000</v>
      </c>
      <c r="J7" s="1" t="s">
        <v>11</v>
      </c>
      <c r="K7" s="1" t="s">
        <v>22</v>
      </c>
      <c r="L7" s="1" t="s">
        <v>33</v>
      </c>
      <c r="M7" s="1"/>
    </row>
    <row r="8" spans="1:13" ht="71.349999999999994">
      <c r="A8" s="5"/>
      <c r="B8" s="1">
        <v>4299990</v>
      </c>
      <c r="C8" s="1" t="s">
        <v>36</v>
      </c>
      <c r="D8" s="2">
        <v>230000000</v>
      </c>
      <c r="E8" s="1" t="s">
        <v>14</v>
      </c>
      <c r="F8" s="3">
        <v>1</v>
      </c>
      <c r="G8" s="2">
        <v>1</v>
      </c>
      <c r="H8" s="2">
        <v>230000000</v>
      </c>
      <c r="I8" s="2">
        <f t="shared" si="0"/>
        <v>230000000</v>
      </c>
      <c r="J8" s="1" t="s">
        <v>11</v>
      </c>
      <c r="K8" s="1" t="s">
        <v>13</v>
      </c>
      <c r="L8" s="1" t="s">
        <v>35</v>
      </c>
      <c r="M8" s="1"/>
    </row>
    <row r="9" spans="1:13" ht="99.85">
      <c r="A9" s="5"/>
      <c r="B9" s="1">
        <v>4299990</v>
      </c>
      <c r="C9" s="1" t="s">
        <v>37</v>
      </c>
      <c r="D9" s="2">
        <f>+I9</f>
        <v>270000000</v>
      </c>
      <c r="E9" s="1" t="s">
        <v>14</v>
      </c>
      <c r="F9" s="3">
        <v>1</v>
      </c>
      <c r="G9" s="3">
        <v>1</v>
      </c>
      <c r="H9" s="2">
        <v>270000000</v>
      </c>
      <c r="I9" s="2">
        <f t="shared" si="0"/>
        <v>270000000</v>
      </c>
      <c r="J9" s="1" t="s">
        <v>11</v>
      </c>
      <c r="K9" s="1" t="s">
        <v>13</v>
      </c>
      <c r="L9" s="1" t="s">
        <v>35</v>
      </c>
      <c r="M9" s="1"/>
    </row>
    <row r="10" spans="1:13" ht="57.1">
      <c r="A10" s="5"/>
      <c r="B10" s="1">
        <v>4821110</v>
      </c>
      <c r="C10" s="1" t="s">
        <v>40</v>
      </c>
      <c r="D10" s="2">
        <v>355000000</v>
      </c>
      <c r="E10" s="1" t="s">
        <v>39</v>
      </c>
      <c r="F10" s="3">
        <v>1</v>
      </c>
      <c r="G10" s="3">
        <v>1</v>
      </c>
      <c r="H10" s="2">
        <v>345000000</v>
      </c>
      <c r="I10" s="2">
        <f t="shared" si="0"/>
        <v>345000000</v>
      </c>
      <c r="J10" s="1" t="s">
        <v>11</v>
      </c>
      <c r="K10" s="1" t="s">
        <v>41</v>
      </c>
      <c r="L10" s="1" t="s">
        <v>38</v>
      </c>
      <c r="M10" s="1"/>
    </row>
    <row r="11" spans="1:13" ht="28.55">
      <c r="A11" s="5"/>
      <c r="B11" s="1">
        <v>4354990</v>
      </c>
      <c r="C11" s="1" t="s">
        <v>43</v>
      </c>
      <c r="D11" s="2">
        <f>+I11</f>
        <v>1740000</v>
      </c>
      <c r="E11" s="1" t="s">
        <v>14</v>
      </c>
      <c r="F11" s="3">
        <v>3</v>
      </c>
      <c r="G11" s="3">
        <v>3</v>
      </c>
      <c r="H11" s="2">
        <v>580000</v>
      </c>
      <c r="I11" s="2">
        <f t="shared" si="0"/>
        <v>1740000</v>
      </c>
      <c r="J11" s="1" t="s">
        <v>11</v>
      </c>
      <c r="K11" s="1" t="s">
        <v>44</v>
      </c>
      <c r="L11" s="1" t="s">
        <v>42</v>
      </c>
      <c r="M11" s="1"/>
    </row>
    <row r="12" spans="1:13" ht="42.8">
      <c r="A12" s="5"/>
      <c r="B12" s="1">
        <v>4234100</v>
      </c>
      <c r="C12" s="1" t="s">
        <v>17</v>
      </c>
      <c r="D12" s="2">
        <f t="shared" ref="D12:D27" si="1">+I12</f>
        <v>908500</v>
      </c>
      <c r="E12" s="1" t="s">
        <v>14</v>
      </c>
      <c r="F12" s="3">
        <v>1</v>
      </c>
      <c r="G12" s="3">
        <v>1</v>
      </c>
      <c r="H12" s="2">
        <v>908500</v>
      </c>
      <c r="I12" s="2">
        <f t="shared" si="0"/>
        <v>908500</v>
      </c>
      <c r="J12" s="1" t="s">
        <v>11</v>
      </c>
      <c r="K12" s="1" t="s">
        <v>13</v>
      </c>
      <c r="L12" s="1" t="s">
        <v>19</v>
      </c>
      <c r="M12" s="1"/>
    </row>
    <row r="13" spans="1:13" ht="99.85">
      <c r="A13" s="5"/>
      <c r="B13" s="1">
        <v>4821110</v>
      </c>
      <c r="C13" s="1" t="s">
        <v>46</v>
      </c>
      <c r="D13" s="2">
        <v>1000000000</v>
      </c>
      <c r="E13" s="1" t="s">
        <v>39</v>
      </c>
      <c r="F13" s="3">
        <v>1</v>
      </c>
      <c r="G13" s="3">
        <v>1</v>
      </c>
      <c r="H13" s="2">
        <v>886746000</v>
      </c>
      <c r="I13" s="2">
        <f t="shared" si="0"/>
        <v>886746000</v>
      </c>
      <c r="J13" s="1" t="s">
        <v>11</v>
      </c>
      <c r="K13" s="1" t="s">
        <v>41</v>
      </c>
      <c r="L13" s="1" t="s">
        <v>45</v>
      </c>
      <c r="M13" s="1"/>
    </row>
    <row r="14" spans="1:13" ht="57.1">
      <c r="A14" s="5"/>
      <c r="B14" s="1">
        <v>4821110</v>
      </c>
      <c r="C14" s="1" t="s">
        <v>48</v>
      </c>
      <c r="D14" s="2">
        <v>1467366322</v>
      </c>
      <c r="E14" s="1" t="s">
        <v>39</v>
      </c>
      <c r="F14" s="3">
        <v>1</v>
      </c>
      <c r="G14" s="3">
        <v>1</v>
      </c>
      <c r="H14" s="2">
        <v>1287754338</v>
      </c>
      <c r="I14" s="2">
        <f t="shared" si="0"/>
        <v>1287754338</v>
      </c>
      <c r="J14" s="1" t="s">
        <v>11</v>
      </c>
      <c r="K14" s="1" t="s">
        <v>41</v>
      </c>
      <c r="L14" s="1" t="s">
        <v>47</v>
      </c>
      <c r="M14" s="1"/>
    </row>
    <row r="15" spans="1:13" ht="57.1">
      <c r="A15" s="5"/>
      <c r="B15" s="1">
        <v>4291000</v>
      </c>
      <c r="C15" s="1" t="s">
        <v>49</v>
      </c>
      <c r="D15" s="2">
        <f t="shared" si="1"/>
        <v>2750000</v>
      </c>
      <c r="E15" s="1" t="s">
        <v>14</v>
      </c>
      <c r="F15" s="3">
        <v>1</v>
      </c>
      <c r="G15" s="3">
        <v>1</v>
      </c>
      <c r="H15" s="2">
        <v>2750000</v>
      </c>
      <c r="I15" s="2">
        <f t="shared" si="0"/>
        <v>2750000</v>
      </c>
      <c r="J15" s="1" t="s">
        <v>11</v>
      </c>
      <c r="K15" s="1" t="s">
        <v>18</v>
      </c>
      <c r="L15" s="1" t="s">
        <v>23</v>
      </c>
      <c r="M15" s="1"/>
    </row>
    <row r="16" spans="1:13" ht="42.8">
      <c r="A16" s="5"/>
      <c r="B16" s="1">
        <v>4299990</v>
      </c>
      <c r="C16" s="1" t="s">
        <v>29</v>
      </c>
      <c r="D16" s="2">
        <f t="shared" si="1"/>
        <v>5777776</v>
      </c>
      <c r="E16" s="1" t="s">
        <v>14</v>
      </c>
      <c r="F16" s="3">
        <v>4</v>
      </c>
      <c r="G16" s="3">
        <v>4</v>
      </c>
      <c r="H16" s="2">
        <v>1444444</v>
      </c>
      <c r="I16" s="2">
        <f t="shared" si="0"/>
        <v>5777776</v>
      </c>
      <c r="J16" s="1" t="s">
        <v>11</v>
      </c>
      <c r="K16" s="1" t="s">
        <v>44</v>
      </c>
      <c r="L16" s="1" t="s">
        <v>50</v>
      </c>
      <c r="M16" s="1"/>
    </row>
    <row r="17" spans="1:13" ht="42.8">
      <c r="A17" s="5"/>
      <c r="B17" s="1">
        <v>4299990</v>
      </c>
      <c r="C17" s="1" t="s">
        <v>29</v>
      </c>
      <c r="D17" s="2">
        <f t="shared" si="1"/>
        <v>5555552</v>
      </c>
      <c r="E17" s="1" t="s">
        <v>14</v>
      </c>
      <c r="F17" s="3">
        <v>4</v>
      </c>
      <c r="G17" s="3">
        <v>4</v>
      </c>
      <c r="H17" s="2">
        <v>1388888</v>
      </c>
      <c r="I17" s="2">
        <f t="shared" si="0"/>
        <v>5555552</v>
      </c>
      <c r="J17" s="1" t="s">
        <v>11</v>
      </c>
      <c r="K17" s="1" t="s">
        <v>44</v>
      </c>
      <c r="L17" s="1" t="s">
        <v>51</v>
      </c>
      <c r="M17" s="1"/>
    </row>
    <row r="18" spans="1:13" ht="42.8">
      <c r="A18" s="5"/>
      <c r="B18" s="1">
        <v>4234100</v>
      </c>
      <c r="C18" s="1" t="s">
        <v>17</v>
      </c>
      <c r="D18" s="2">
        <f t="shared" si="1"/>
        <v>2393000</v>
      </c>
      <c r="E18" s="1" t="s">
        <v>53</v>
      </c>
      <c r="F18" s="3">
        <v>1</v>
      </c>
      <c r="G18" s="3">
        <v>1</v>
      </c>
      <c r="H18" s="2">
        <v>2393000</v>
      </c>
      <c r="I18" s="2">
        <f t="shared" si="0"/>
        <v>2393000</v>
      </c>
      <c r="J18" s="1"/>
      <c r="K18" s="1" t="s">
        <v>13</v>
      </c>
      <c r="L18" s="1" t="s">
        <v>52</v>
      </c>
      <c r="M18" s="1"/>
    </row>
    <row r="19" spans="1:13" ht="28.55">
      <c r="A19" s="5"/>
      <c r="B19" s="6">
        <v>4299990</v>
      </c>
      <c r="C19" s="6" t="s">
        <v>54</v>
      </c>
      <c r="D19" s="7">
        <f t="shared" si="1"/>
        <v>9350000</v>
      </c>
      <c r="E19" s="6" t="s">
        <v>14</v>
      </c>
      <c r="F19" s="8">
        <v>1</v>
      </c>
      <c r="G19" s="9">
        <v>1</v>
      </c>
      <c r="H19" s="10">
        <v>9350000</v>
      </c>
      <c r="I19" s="10">
        <f t="shared" si="0"/>
        <v>9350000</v>
      </c>
      <c r="J19" s="6"/>
      <c r="K19" s="6" t="s">
        <v>13</v>
      </c>
      <c r="L19" s="6" t="s">
        <v>55</v>
      </c>
      <c r="M19" s="1"/>
    </row>
    <row r="20" spans="1:13" ht="42.8">
      <c r="A20" s="5"/>
      <c r="B20" s="6">
        <v>4234100</v>
      </c>
      <c r="C20" s="6" t="s">
        <v>17</v>
      </c>
      <c r="D20" s="7">
        <f t="shared" si="1"/>
        <v>1020000</v>
      </c>
      <c r="E20" s="6" t="s">
        <v>14</v>
      </c>
      <c r="F20" s="8">
        <v>1</v>
      </c>
      <c r="G20" s="9">
        <v>1</v>
      </c>
      <c r="H20" s="10">
        <v>1020000</v>
      </c>
      <c r="I20" s="10">
        <f t="shared" si="0"/>
        <v>1020000</v>
      </c>
      <c r="J20" s="6"/>
      <c r="K20" s="6" t="s">
        <v>13</v>
      </c>
      <c r="L20" s="6" t="s">
        <v>56</v>
      </c>
      <c r="M20" s="1"/>
    </row>
    <row r="21" spans="1:13" ht="156.9">
      <c r="A21" s="5"/>
      <c r="B21" s="6">
        <v>4299990</v>
      </c>
      <c r="C21" s="6" t="s">
        <v>57</v>
      </c>
      <c r="D21" s="7">
        <f t="shared" si="1"/>
        <v>1181084454</v>
      </c>
      <c r="E21" s="6" t="s">
        <v>14</v>
      </c>
      <c r="F21" s="8">
        <v>1</v>
      </c>
      <c r="G21" s="9">
        <v>1</v>
      </c>
      <c r="H21" s="10">
        <v>1181084454</v>
      </c>
      <c r="I21" s="10">
        <f t="shared" si="0"/>
        <v>1181084454</v>
      </c>
      <c r="J21" s="6"/>
      <c r="K21" s="6" t="s">
        <v>16</v>
      </c>
      <c r="L21" s="6" t="s">
        <v>58</v>
      </c>
      <c r="M21" s="1"/>
    </row>
    <row r="22" spans="1:13" ht="42.8">
      <c r="A22" s="5"/>
      <c r="B22" s="6">
        <v>4234100</v>
      </c>
      <c r="C22" s="6" t="s">
        <v>17</v>
      </c>
      <c r="D22" s="7">
        <f t="shared" si="1"/>
        <v>1140000</v>
      </c>
      <c r="E22" s="6" t="s">
        <v>14</v>
      </c>
      <c r="F22" s="8">
        <v>1</v>
      </c>
      <c r="G22" s="9">
        <v>1</v>
      </c>
      <c r="H22" s="10">
        <v>1140000</v>
      </c>
      <c r="I22" s="10">
        <f t="shared" si="0"/>
        <v>1140000</v>
      </c>
      <c r="J22" s="6"/>
      <c r="K22" s="6" t="s">
        <v>13</v>
      </c>
      <c r="L22" s="6" t="s">
        <v>56</v>
      </c>
      <c r="M22" s="1"/>
    </row>
    <row r="23" spans="1:13" ht="42.8">
      <c r="A23" s="5"/>
      <c r="B23" s="6">
        <v>4121200</v>
      </c>
      <c r="C23" s="6" t="s">
        <v>59</v>
      </c>
      <c r="D23" s="7">
        <f t="shared" si="1"/>
        <v>1760903</v>
      </c>
      <c r="E23" s="6" t="s">
        <v>24</v>
      </c>
      <c r="F23" s="8">
        <v>1</v>
      </c>
      <c r="G23" s="9">
        <v>1</v>
      </c>
      <c r="H23" s="10">
        <v>1760903</v>
      </c>
      <c r="I23" s="10">
        <f t="shared" si="0"/>
        <v>1760903</v>
      </c>
      <c r="J23" s="6"/>
      <c r="K23" s="6" t="s">
        <v>13</v>
      </c>
      <c r="L23" s="6" t="s">
        <v>60</v>
      </c>
      <c r="M23" s="1"/>
    </row>
    <row r="24" spans="1:13" ht="42.8">
      <c r="A24" s="5"/>
      <c r="B24" s="6">
        <v>4291000</v>
      </c>
      <c r="C24" s="6" t="s">
        <v>61</v>
      </c>
      <c r="D24" s="7">
        <f t="shared" si="1"/>
        <v>578205</v>
      </c>
      <c r="E24" s="6" t="s">
        <v>14</v>
      </c>
      <c r="F24" s="8">
        <v>1</v>
      </c>
      <c r="G24" s="9">
        <v>1</v>
      </c>
      <c r="H24" s="10">
        <v>578205</v>
      </c>
      <c r="I24" s="10">
        <f t="shared" si="0"/>
        <v>578205</v>
      </c>
      <c r="J24" s="6"/>
      <c r="K24" s="6" t="s">
        <v>18</v>
      </c>
      <c r="L24" s="6" t="s">
        <v>62</v>
      </c>
      <c r="M24" s="1"/>
    </row>
    <row r="25" spans="1:13" ht="42.8">
      <c r="A25" s="5"/>
      <c r="B25" s="6">
        <v>4252110</v>
      </c>
      <c r="C25" s="6" t="s">
        <v>63</v>
      </c>
      <c r="D25" s="7">
        <f t="shared" si="1"/>
        <v>6900000</v>
      </c>
      <c r="E25" s="6" t="s">
        <v>14</v>
      </c>
      <c r="F25" s="8">
        <v>10000</v>
      </c>
      <c r="G25" s="9">
        <v>10000</v>
      </c>
      <c r="H25" s="10">
        <v>690</v>
      </c>
      <c r="I25" s="10">
        <f t="shared" si="0"/>
        <v>6900000</v>
      </c>
      <c r="J25" s="6"/>
      <c r="K25" s="6" t="s">
        <v>13</v>
      </c>
      <c r="L25" s="6" t="s">
        <v>64</v>
      </c>
      <c r="M25" s="1"/>
    </row>
    <row r="26" spans="1:13" ht="171.2">
      <c r="A26" s="5"/>
      <c r="B26" s="6">
        <v>4299990</v>
      </c>
      <c r="C26" s="6" t="s">
        <v>65</v>
      </c>
      <c r="D26" s="7">
        <f t="shared" si="1"/>
        <v>127168500</v>
      </c>
      <c r="E26" s="6" t="s">
        <v>14</v>
      </c>
      <c r="F26" s="8">
        <v>1</v>
      </c>
      <c r="G26" s="9">
        <v>1</v>
      </c>
      <c r="H26" s="10">
        <v>127168500</v>
      </c>
      <c r="I26" s="10">
        <f t="shared" si="0"/>
        <v>127168500</v>
      </c>
      <c r="J26" s="6" t="s">
        <v>11</v>
      </c>
      <c r="K26" s="6" t="s">
        <v>13</v>
      </c>
      <c r="L26" s="6" t="s">
        <v>66</v>
      </c>
      <c r="M26" s="1"/>
    </row>
    <row r="27" spans="1:13" ht="28.55">
      <c r="A27" s="5"/>
      <c r="B27" s="6">
        <v>4299990</v>
      </c>
      <c r="C27" s="6" t="s">
        <v>67</v>
      </c>
      <c r="D27" s="7">
        <f t="shared" si="1"/>
        <v>5400000</v>
      </c>
      <c r="E27" s="6" t="s">
        <v>14</v>
      </c>
      <c r="F27" s="8">
        <v>1</v>
      </c>
      <c r="G27" s="9">
        <v>1</v>
      </c>
      <c r="H27" s="10">
        <v>5400000</v>
      </c>
      <c r="I27" s="10">
        <f t="shared" si="0"/>
        <v>5400000</v>
      </c>
      <c r="J27" s="6"/>
      <c r="K27" s="6" t="s">
        <v>13</v>
      </c>
      <c r="L27" s="6" t="s">
        <v>68</v>
      </c>
      <c r="M27" s="1"/>
    </row>
    <row r="28" spans="1:13">
      <c r="A28" s="5"/>
      <c r="B28" s="1"/>
      <c r="C28" s="1"/>
      <c r="D28" s="2"/>
      <c r="E28" s="1"/>
      <c r="F28" s="3"/>
      <c r="G28" s="3"/>
      <c r="H28" s="2"/>
      <c r="I28" s="2"/>
      <c r="J28" s="1"/>
      <c r="K28" s="1"/>
      <c r="L28" s="1"/>
      <c r="M28" s="1"/>
    </row>
    <row r="29" spans="1:13" ht="57.1">
      <c r="A29" s="1">
        <v>1</v>
      </c>
      <c r="B29" s="1">
        <v>4299990</v>
      </c>
      <c r="C29" s="1" t="s">
        <v>27</v>
      </c>
      <c r="D29" s="2">
        <v>28175000</v>
      </c>
      <c r="E29" s="1" t="s">
        <v>14</v>
      </c>
      <c r="F29" s="3">
        <v>1</v>
      </c>
      <c r="G29" s="2">
        <v>1</v>
      </c>
      <c r="H29" s="2">
        <v>28175000</v>
      </c>
      <c r="I29" s="2">
        <f>+G29*H29</f>
        <v>28175000</v>
      </c>
      <c r="J29" s="1" t="s">
        <v>11</v>
      </c>
      <c r="K29" s="1" t="s">
        <v>16</v>
      </c>
      <c r="L29" s="1" t="s">
        <v>26</v>
      </c>
      <c r="M29" s="1"/>
    </row>
    <row r="30" spans="1:13" ht="42.8">
      <c r="A30" s="1">
        <v>2</v>
      </c>
      <c r="B30" s="1">
        <v>4299990</v>
      </c>
      <c r="C30" s="1" t="s">
        <v>29</v>
      </c>
      <c r="D30" s="2">
        <f>765400*8</f>
        <v>6123200</v>
      </c>
      <c r="E30" s="1" t="s">
        <v>14</v>
      </c>
      <c r="F30" s="3">
        <v>8</v>
      </c>
      <c r="G30" s="2">
        <v>8</v>
      </c>
      <c r="H30" s="2">
        <v>698450.01</v>
      </c>
      <c r="I30" s="2">
        <f>+G30*H30</f>
        <v>5587600.0800000001</v>
      </c>
      <c r="J30" s="1" t="s">
        <v>11</v>
      </c>
      <c r="K30" s="1" t="s">
        <v>20</v>
      </c>
      <c r="L30" s="1" t="s">
        <v>28</v>
      </c>
      <c r="M30" s="1"/>
    </row>
    <row r="31" spans="1:13">
      <c r="A31" s="1">
        <v>3</v>
      </c>
      <c r="B31" s="1"/>
      <c r="C31" s="1"/>
      <c r="D31" s="2"/>
      <c r="E31" s="1"/>
      <c r="F31" s="3"/>
      <c r="G31" s="2"/>
      <c r="H31" s="2"/>
      <c r="I31" s="2"/>
      <c r="J31" s="1"/>
      <c r="K31" s="1"/>
      <c r="L31" s="1"/>
      <c r="M31" s="1"/>
    </row>
    <row r="32" spans="1:13">
      <c r="A32" s="1"/>
      <c r="B32" s="1"/>
      <c r="C32" s="1"/>
      <c r="D32" s="2"/>
      <c r="E32" s="1"/>
      <c r="F32" s="3"/>
      <c r="G32" s="2"/>
      <c r="H32" s="2"/>
      <c r="I32" s="2"/>
      <c r="J32" s="1"/>
      <c r="K32" s="1"/>
      <c r="L32" s="1"/>
      <c r="M32" s="1"/>
    </row>
    <row r="33" spans="1:13">
      <c r="A33" s="1"/>
      <c r="B33" s="1"/>
      <c r="C33" s="1"/>
      <c r="D33" s="2"/>
      <c r="E33" s="1"/>
      <c r="F33" s="3"/>
      <c r="G33" s="2"/>
      <c r="H33" s="2"/>
      <c r="I33" s="2"/>
      <c r="J33" s="1"/>
      <c r="K33" s="1"/>
      <c r="L33" s="1"/>
      <c r="M33" s="1"/>
    </row>
    <row r="34" spans="1:13">
      <c r="A34" s="1"/>
      <c r="B34" s="1"/>
      <c r="C34" s="1"/>
      <c r="D34" s="2"/>
      <c r="E34" s="1"/>
      <c r="F34" s="3"/>
      <c r="G34" s="2"/>
      <c r="H34" s="2"/>
      <c r="I34" s="2"/>
      <c r="J34" s="1"/>
      <c r="K34" s="1"/>
      <c r="L34" s="1"/>
      <c r="M34" s="1"/>
    </row>
    <row r="35" spans="1:13">
      <c r="A35" s="1"/>
      <c r="B35" s="1"/>
      <c r="C35" s="1"/>
      <c r="D35" s="2"/>
      <c r="E35" s="1"/>
      <c r="F35" s="3"/>
      <c r="G35" s="2"/>
      <c r="H35" s="2"/>
      <c r="I35" s="2"/>
      <c r="J35" s="1"/>
      <c r="K35" s="1"/>
      <c r="L35" s="1"/>
      <c r="M35" s="1"/>
    </row>
    <row r="36" spans="1:13">
      <c r="A36" s="1"/>
      <c r="B36" s="1"/>
      <c r="C36" s="1"/>
      <c r="D36" s="2"/>
      <c r="E36" s="1"/>
      <c r="F36" s="3"/>
      <c r="G36" s="2"/>
      <c r="H36" s="2"/>
      <c r="I36" s="2"/>
      <c r="J36" s="1"/>
      <c r="K36" s="1"/>
      <c r="L36" s="1"/>
      <c r="M36" s="1"/>
    </row>
    <row r="37" spans="1:13">
      <c r="A37" s="1"/>
      <c r="B37" s="1"/>
      <c r="C37" s="1"/>
      <c r="D37" s="2"/>
      <c r="E37" s="1"/>
      <c r="F37" s="3"/>
      <c r="G37" s="2"/>
      <c r="H37" s="2"/>
      <c r="I37" s="2"/>
      <c r="J37" s="1"/>
      <c r="K37" s="1"/>
      <c r="L37" s="1"/>
      <c r="M37" s="1"/>
    </row>
    <row r="38" spans="1:13">
      <c r="A38" s="1"/>
      <c r="B38" s="1"/>
      <c r="C38" s="1"/>
      <c r="D38" s="2"/>
      <c r="E38" s="1"/>
      <c r="F38" s="3"/>
      <c r="G38" s="2"/>
      <c r="H38" s="2"/>
      <c r="I38" s="2"/>
      <c r="J38" s="1"/>
      <c r="K38" s="1"/>
      <c r="L38" s="1"/>
      <c r="M38" s="1"/>
    </row>
    <row r="39" spans="1:13">
      <c r="A39" s="1"/>
      <c r="B39" s="1"/>
      <c r="C39" s="1"/>
      <c r="D39" s="2"/>
      <c r="E39" s="1"/>
      <c r="F39" s="3"/>
      <c r="G39" s="2"/>
      <c r="H39" s="2"/>
      <c r="I39" s="2"/>
      <c r="J39" s="1"/>
      <c r="K39" s="1"/>
      <c r="L39" s="1"/>
      <c r="M39" s="1"/>
    </row>
    <row r="40" spans="1:13">
      <c r="A40" s="1"/>
      <c r="B40" s="1"/>
      <c r="C40" s="1"/>
      <c r="D40" s="2"/>
      <c r="E40" s="1"/>
      <c r="F40" s="3"/>
      <c r="G40" s="2"/>
      <c r="H40" s="2"/>
      <c r="I40" s="2"/>
      <c r="J40" s="1"/>
      <c r="K40" s="1"/>
      <c r="L40" s="1"/>
      <c r="M40" s="1"/>
    </row>
    <row r="41" spans="1:13">
      <c r="A41" s="1"/>
      <c r="B41" s="1"/>
      <c r="C41" s="1"/>
      <c r="D41" s="2"/>
      <c r="E41" s="1"/>
      <c r="F41" s="3"/>
      <c r="G41" s="2"/>
      <c r="H41" s="2"/>
      <c r="I41" s="2"/>
      <c r="J41" s="1"/>
      <c r="K41" s="1"/>
      <c r="L41" s="1"/>
      <c r="M41" s="1"/>
    </row>
    <row r="42" spans="1:13">
      <c r="A42" s="1"/>
      <c r="B42" s="1"/>
      <c r="C42" s="1"/>
      <c r="D42" s="2"/>
      <c r="E42" s="1"/>
      <c r="F42" s="3"/>
      <c r="G42" s="2"/>
      <c r="H42" s="2"/>
      <c r="I42" s="2"/>
      <c r="J42" s="1"/>
      <c r="K42" s="1"/>
      <c r="L42" s="1"/>
      <c r="M42" s="1"/>
    </row>
    <row r="43" spans="1:13">
      <c r="A43" s="1"/>
      <c r="B43" s="1"/>
      <c r="C43" s="1"/>
      <c r="D43" s="2"/>
      <c r="E43" s="1"/>
      <c r="F43" s="3"/>
      <c r="G43" s="2"/>
      <c r="H43" s="2"/>
      <c r="I43" s="2"/>
      <c r="J43" s="1"/>
      <c r="K43" s="1"/>
      <c r="L43" s="1"/>
      <c r="M43" s="1"/>
    </row>
    <row r="44" spans="1:13">
      <c r="A44" s="1"/>
      <c r="B44" s="1"/>
      <c r="C44" s="1"/>
      <c r="D44" s="2"/>
      <c r="E44" s="1"/>
      <c r="F44" s="3"/>
      <c r="G44" s="2"/>
      <c r="H44" s="2"/>
      <c r="I44" s="2"/>
      <c r="J44" s="1"/>
      <c r="K44" s="1"/>
      <c r="L44" s="1"/>
      <c r="M44" s="1"/>
    </row>
    <row r="45" spans="1:13">
      <c r="A45" s="1"/>
      <c r="B45" s="1"/>
      <c r="C45" s="1"/>
      <c r="D45" s="2"/>
      <c r="E45" s="1"/>
      <c r="F45" s="3"/>
      <c r="G45" s="2"/>
      <c r="H45" s="2"/>
      <c r="I45" s="2"/>
      <c r="J45" s="1"/>
      <c r="K45" s="1"/>
      <c r="L45" s="1"/>
      <c r="M45" s="1"/>
    </row>
    <row r="46" spans="1:13">
      <c r="A46" s="1"/>
      <c r="B46" s="1"/>
      <c r="C46" s="1"/>
      <c r="D46" s="2"/>
      <c r="E46" s="1"/>
      <c r="F46" s="3"/>
      <c r="G46" s="2"/>
      <c r="H46" s="2"/>
      <c r="I46" s="2"/>
      <c r="J46" s="1"/>
      <c r="K46" s="1"/>
      <c r="L46" s="1"/>
      <c r="M46" s="1"/>
    </row>
    <row r="47" spans="1:13">
      <c r="A47" s="1"/>
      <c r="B47" s="1"/>
      <c r="C47" s="1"/>
      <c r="D47" s="2"/>
      <c r="E47" s="1"/>
      <c r="F47" s="3"/>
      <c r="G47" s="2"/>
      <c r="H47" s="2"/>
      <c r="I47" s="2"/>
      <c r="J47" s="1"/>
      <c r="K47" s="1"/>
      <c r="L47" s="1"/>
      <c r="M47" s="1"/>
    </row>
    <row r="48" spans="1:13">
      <c r="A48" s="1"/>
      <c r="B48" s="1"/>
      <c r="C48" s="1"/>
      <c r="D48" s="2"/>
      <c r="E48" s="1"/>
      <c r="F48" s="3"/>
      <c r="G48" s="2"/>
      <c r="H48" s="2"/>
      <c r="I48" s="2"/>
      <c r="J48" s="1"/>
      <c r="K48" s="1"/>
      <c r="L48" s="1"/>
      <c r="M48" s="1"/>
    </row>
    <row r="49" spans="1:13">
      <c r="A49" s="1"/>
      <c r="B49" s="1"/>
      <c r="C49" s="1"/>
      <c r="D49" s="2"/>
      <c r="E49" s="1"/>
      <c r="F49" s="3"/>
      <c r="G49" s="2"/>
      <c r="H49" s="2"/>
      <c r="I49" s="2"/>
      <c r="J49" s="1"/>
      <c r="K49" s="1"/>
      <c r="L49" s="1"/>
      <c r="M49" s="1"/>
    </row>
    <row r="50" spans="1:13">
      <c r="A50" s="1"/>
      <c r="B50" s="1"/>
      <c r="C50" s="1"/>
      <c r="D50" s="2"/>
      <c r="E50" s="1"/>
      <c r="F50" s="3"/>
      <c r="G50" s="2"/>
      <c r="H50" s="2"/>
      <c r="I50" s="2"/>
      <c r="J50" s="1"/>
      <c r="K50" s="1"/>
      <c r="L50" s="1"/>
      <c r="M50" s="1"/>
    </row>
    <row r="51" spans="1:13">
      <c r="A51" s="1"/>
      <c r="B51" s="1"/>
      <c r="C51" s="1"/>
      <c r="D51" s="2"/>
      <c r="E51" s="1"/>
      <c r="F51" s="3"/>
      <c r="G51" s="2"/>
      <c r="H51" s="2"/>
      <c r="I51" s="2"/>
      <c r="J51" s="1"/>
      <c r="K51" s="1"/>
      <c r="L51" s="1"/>
      <c r="M51" s="1"/>
    </row>
    <row r="52" spans="1:13">
      <c r="A52" s="1"/>
      <c r="B52" s="1"/>
      <c r="C52" s="1"/>
      <c r="D52" s="2"/>
      <c r="E52" s="1"/>
      <c r="F52" s="3"/>
      <c r="G52" s="2"/>
      <c r="H52" s="2"/>
      <c r="I52" s="2"/>
      <c r="J52" s="1"/>
      <c r="K52" s="1"/>
      <c r="L52" s="1"/>
      <c r="M52" s="1"/>
    </row>
    <row r="53" spans="1:13">
      <c r="A53" s="1"/>
      <c r="B53" s="1"/>
      <c r="C53" s="1"/>
      <c r="D53" s="2"/>
      <c r="E53" s="1"/>
      <c r="F53" s="3"/>
      <c r="G53" s="2"/>
      <c r="H53" s="2"/>
      <c r="I53" s="2"/>
      <c r="J53" s="1"/>
      <c r="K53" s="1"/>
      <c r="L53" s="1"/>
      <c r="M53" s="1"/>
    </row>
    <row r="54" spans="1:13">
      <c r="A54" s="1"/>
      <c r="B54" s="1"/>
      <c r="C54" s="1"/>
      <c r="D54" s="2"/>
      <c r="E54" s="1"/>
      <c r="F54" s="3"/>
      <c r="G54" s="2"/>
      <c r="H54" s="2"/>
      <c r="I54" s="2"/>
      <c r="J54" s="1"/>
      <c r="K54" s="1"/>
      <c r="L54" s="1"/>
      <c r="M54" s="1"/>
    </row>
    <row r="55" spans="1:13">
      <c r="A55" s="1"/>
      <c r="B55" s="1"/>
      <c r="C55" s="1"/>
      <c r="D55" s="2"/>
      <c r="E55" s="1"/>
      <c r="F55" s="3"/>
      <c r="G55" s="2"/>
      <c r="H55" s="2"/>
      <c r="I55" s="2"/>
      <c r="J55" s="1"/>
      <c r="K55" s="1"/>
      <c r="L55" s="1"/>
      <c r="M55" s="1"/>
    </row>
  </sheetData>
  <autoFilter ref="A4:M4"/>
  <mergeCells count="2">
    <mergeCell ref="B2:M2"/>
    <mergeCell ref="L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9"/>
  <sheetViews>
    <sheetView tabSelected="1" topLeftCell="A2" zoomScale="70" zoomScaleNormal="70" workbookViewId="0">
      <pane xSplit="5" ySplit="9" topLeftCell="F89" activePane="bottomRight" state="frozen"/>
      <selection activeCell="A2" sqref="A2"/>
      <selection pane="topRight" activeCell="F2" sqref="F2"/>
      <selection pane="bottomLeft" activeCell="A7" sqref="A7"/>
      <selection pane="bottomRight" activeCell="J339" sqref="J339"/>
    </sheetView>
  </sheetViews>
  <sheetFormatPr defaultColWidth="9.125" defaultRowHeight="15.65"/>
  <cols>
    <col min="1" max="1" width="5.75" style="15" bestFit="1" customWidth="1"/>
    <col min="2" max="2" width="17.875" style="15" customWidth="1"/>
    <col min="3" max="3" width="25" style="15" customWidth="1"/>
    <col min="4" max="4" width="23.875" style="15" customWidth="1"/>
    <col min="5" max="5" width="11.25" style="15" customWidth="1"/>
    <col min="6" max="6" width="18.25" style="16" customWidth="1"/>
    <col min="7" max="7" width="17.875" style="16" customWidth="1"/>
    <col min="8" max="8" width="18.375" style="16" customWidth="1"/>
    <col min="9" max="9" width="18.125" style="16" customWidth="1"/>
    <col min="10" max="10" width="22" style="16" customWidth="1"/>
    <col min="11" max="16384" width="9.125" style="15"/>
  </cols>
  <sheetData>
    <row r="1" spans="1:10" hidden="1"/>
    <row r="2" spans="1:10" s="17" customFormat="1" ht="44.35" customHeight="1">
      <c r="A2" s="14" t="s">
        <v>70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s="17" customFormat="1" ht="44.35" customHeight="1">
      <c r="A3" s="14" t="s">
        <v>620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s="17" customFormat="1" ht="44.35" customHeight="1">
      <c r="A4" s="14" t="s">
        <v>69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s="17" customFormat="1" ht="44.35" customHeight="1" thickBot="1">
      <c r="A5" s="14" t="s">
        <v>619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s="17" customFormat="1" ht="55.7" customHeight="1">
      <c r="A6" s="18" t="s">
        <v>0</v>
      </c>
      <c r="B6" s="19" t="s">
        <v>647</v>
      </c>
      <c r="C6" s="19" t="s">
        <v>621</v>
      </c>
      <c r="D6" s="19" t="s">
        <v>622</v>
      </c>
      <c r="E6" s="19" t="s">
        <v>623</v>
      </c>
      <c r="F6" s="19" t="s">
        <v>624</v>
      </c>
      <c r="G6" s="19" t="s">
        <v>628</v>
      </c>
      <c r="H6" s="19" t="s">
        <v>625</v>
      </c>
      <c r="I6" s="19" t="s">
        <v>626</v>
      </c>
      <c r="J6" s="20" t="s">
        <v>627</v>
      </c>
    </row>
    <row r="7" spans="1:10" s="17" customFormat="1" ht="51.65" customHeight="1">
      <c r="A7" s="21" t="s">
        <v>0</v>
      </c>
      <c r="B7" s="22" t="s">
        <v>71</v>
      </c>
      <c r="C7" s="22" t="s">
        <v>72</v>
      </c>
      <c r="D7" s="22" t="s">
        <v>73</v>
      </c>
      <c r="E7" s="22" t="s">
        <v>74</v>
      </c>
      <c r="F7" s="23" t="s">
        <v>75</v>
      </c>
      <c r="G7" s="23" t="s">
        <v>76</v>
      </c>
      <c r="H7" s="23" t="s">
        <v>77</v>
      </c>
      <c r="I7" s="23" t="s">
        <v>78</v>
      </c>
      <c r="J7" s="24" t="s">
        <v>79</v>
      </c>
    </row>
    <row r="8" spans="1:10" ht="46.9">
      <c r="A8" s="21" t="s">
        <v>0</v>
      </c>
      <c r="B8" s="22" t="s">
        <v>636</v>
      </c>
      <c r="C8" s="22" t="s">
        <v>629</v>
      </c>
      <c r="D8" s="22" t="s">
        <v>635</v>
      </c>
      <c r="E8" s="22" t="s">
        <v>637</v>
      </c>
      <c r="F8" s="22" t="s">
        <v>634</v>
      </c>
      <c r="G8" s="22" t="s">
        <v>633</v>
      </c>
      <c r="H8" s="22" t="s">
        <v>630</v>
      </c>
      <c r="I8" s="22" t="s">
        <v>631</v>
      </c>
      <c r="J8" s="25" t="s">
        <v>632</v>
      </c>
    </row>
    <row r="9" spans="1:10" ht="38.75" customHeight="1">
      <c r="A9" s="21" t="s">
        <v>0</v>
      </c>
      <c r="B9" s="22" t="s">
        <v>638</v>
      </c>
      <c r="C9" s="22" t="s">
        <v>639</v>
      </c>
      <c r="D9" s="22" t="s">
        <v>640</v>
      </c>
      <c r="E9" s="22" t="s">
        <v>641</v>
      </c>
      <c r="F9" s="22" t="s">
        <v>642</v>
      </c>
      <c r="G9" s="22" t="s">
        <v>643</v>
      </c>
      <c r="H9" s="22" t="s">
        <v>644</v>
      </c>
      <c r="I9" s="22" t="s">
        <v>645</v>
      </c>
      <c r="J9" s="25" t="s">
        <v>646</v>
      </c>
    </row>
    <row r="10" spans="1:10" ht="31.25">
      <c r="A10" s="26">
        <v>1</v>
      </c>
      <c r="B10" s="27" t="s">
        <v>80</v>
      </c>
      <c r="C10" s="28" t="s">
        <v>81</v>
      </c>
      <c r="D10" s="28" t="s">
        <v>82</v>
      </c>
      <c r="E10" s="28">
        <v>1</v>
      </c>
      <c r="F10" s="29">
        <v>600000</v>
      </c>
      <c r="G10" s="30">
        <v>27000</v>
      </c>
      <c r="H10" s="30">
        <v>0</v>
      </c>
      <c r="I10" s="30">
        <v>0</v>
      </c>
      <c r="J10" s="31">
        <f t="shared" ref="J10:J73" si="0">+F10+G10+H10+I10</f>
        <v>627000</v>
      </c>
    </row>
    <row r="11" spans="1:10" ht="31.25">
      <c r="A11" s="32">
        <v>2</v>
      </c>
      <c r="B11" s="33" t="s">
        <v>83</v>
      </c>
      <c r="C11" s="34" t="s">
        <v>84</v>
      </c>
      <c r="D11" s="34" t="s">
        <v>85</v>
      </c>
      <c r="E11" s="34">
        <v>2</v>
      </c>
      <c r="F11" s="35">
        <v>700000</v>
      </c>
      <c r="G11" s="11">
        <f>27000*2</f>
        <v>54000</v>
      </c>
      <c r="H11" s="11">
        <v>0</v>
      </c>
      <c r="I11" s="11">
        <v>0</v>
      </c>
      <c r="J11" s="36">
        <f t="shared" si="0"/>
        <v>754000</v>
      </c>
    </row>
    <row r="12" spans="1:10" ht="31.25">
      <c r="A12" s="32">
        <v>3</v>
      </c>
      <c r="B12" s="33" t="s">
        <v>86</v>
      </c>
      <c r="C12" s="34" t="s">
        <v>87</v>
      </c>
      <c r="D12" s="34" t="s">
        <v>88</v>
      </c>
      <c r="E12" s="34">
        <v>3</v>
      </c>
      <c r="F12" s="35">
        <v>540000</v>
      </c>
      <c r="G12" s="11">
        <f>27000*3</f>
        <v>81000</v>
      </c>
      <c r="H12" s="11">
        <v>0</v>
      </c>
      <c r="I12" s="11">
        <v>0</v>
      </c>
      <c r="J12" s="36">
        <f t="shared" si="0"/>
        <v>621000</v>
      </c>
    </row>
    <row r="13" spans="1:10" ht="31.25">
      <c r="A13" s="32">
        <v>4</v>
      </c>
      <c r="B13" s="33" t="s">
        <v>89</v>
      </c>
      <c r="C13" s="34" t="s">
        <v>90</v>
      </c>
      <c r="D13" s="34" t="s">
        <v>91</v>
      </c>
      <c r="E13" s="34">
        <v>7</v>
      </c>
      <c r="F13" s="35">
        <v>1800000</v>
      </c>
      <c r="G13" s="11">
        <f>27000*7</f>
        <v>189000</v>
      </c>
      <c r="H13" s="35">
        <f>137800+138000+152000+421800+130000</f>
        <v>979600</v>
      </c>
      <c r="I13" s="11">
        <v>0</v>
      </c>
      <c r="J13" s="36">
        <f t="shared" si="0"/>
        <v>2968600</v>
      </c>
    </row>
    <row r="14" spans="1:10" ht="46.9">
      <c r="A14" s="32">
        <v>5</v>
      </c>
      <c r="B14" s="33" t="s">
        <v>92</v>
      </c>
      <c r="C14" s="34" t="s">
        <v>93</v>
      </c>
      <c r="D14" s="34" t="s">
        <v>94</v>
      </c>
      <c r="E14" s="34">
        <v>8</v>
      </c>
      <c r="F14" s="35">
        <f>200000+400000</f>
        <v>600000</v>
      </c>
      <c r="G14" s="11">
        <f>27000*8</f>
        <v>216000</v>
      </c>
      <c r="H14" s="11">
        <f>157320+246850</f>
        <v>404170</v>
      </c>
      <c r="I14" s="11">
        <v>0</v>
      </c>
      <c r="J14" s="36">
        <f t="shared" si="0"/>
        <v>1220170</v>
      </c>
    </row>
    <row r="15" spans="1:10" ht="46.9">
      <c r="A15" s="32">
        <v>6</v>
      </c>
      <c r="B15" s="33" t="s">
        <v>95</v>
      </c>
      <c r="C15" s="34" t="s">
        <v>96</v>
      </c>
      <c r="D15" s="34" t="s">
        <v>97</v>
      </c>
      <c r="E15" s="34">
        <v>2</v>
      </c>
      <c r="F15" s="35">
        <v>1305150</v>
      </c>
      <c r="G15" s="11">
        <v>537878</v>
      </c>
      <c r="H15" s="11">
        <v>0</v>
      </c>
      <c r="I15" s="11">
        <v>0</v>
      </c>
      <c r="J15" s="36">
        <f t="shared" si="0"/>
        <v>1843028</v>
      </c>
    </row>
    <row r="16" spans="1:10" ht="31.25">
      <c r="A16" s="32">
        <v>7</v>
      </c>
      <c r="B16" s="33" t="s">
        <v>98</v>
      </c>
      <c r="C16" s="34" t="s">
        <v>99</v>
      </c>
      <c r="D16" s="34" t="s">
        <v>100</v>
      </c>
      <c r="E16" s="34">
        <v>7</v>
      </c>
      <c r="F16" s="35">
        <v>0</v>
      </c>
      <c r="G16" s="11">
        <f>27000*7</f>
        <v>189000</v>
      </c>
      <c r="H16" s="11">
        <v>0</v>
      </c>
      <c r="I16" s="35">
        <v>401741</v>
      </c>
      <c r="J16" s="36">
        <f t="shared" si="0"/>
        <v>590741</v>
      </c>
    </row>
    <row r="17" spans="1:10" s="37" customFormat="1" ht="31.25">
      <c r="A17" s="32">
        <v>8</v>
      </c>
      <c r="B17" s="33" t="s">
        <v>101</v>
      </c>
      <c r="C17" s="34" t="s">
        <v>84</v>
      </c>
      <c r="D17" s="34" t="s">
        <v>102</v>
      </c>
      <c r="E17" s="34">
        <v>4</v>
      </c>
      <c r="F17" s="35">
        <v>690000</v>
      </c>
      <c r="G17" s="11">
        <f>27000*4</f>
        <v>108000</v>
      </c>
      <c r="H17" s="11">
        <v>0</v>
      </c>
      <c r="I17" s="35">
        <f>555418+462621</f>
        <v>1018039</v>
      </c>
      <c r="J17" s="36">
        <f t="shared" si="0"/>
        <v>1816039</v>
      </c>
    </row>
    <row r="18" spans="1:10" ht="31.25">
      <c r="A18" s="32">
        <v>9</v>
      </c>
      <c r="B18" s="33" t="s">
        <v>103</v>
      </c>
      <c r="C18" s="34" t="s">
        <v>104</v>
      </c>
      <c r="D18" s="34" t="s">
        <v>105</v>
      </c>
      <c r="E18" s="34">
        <v>2</v>
      </c>
      <c r="F18" s="35">
        <v>0</v>
      </c>
      <c r="G18" s="11">
        <f>27000*2</f>
        <v>54000</v>
      </c>
      <c r="H18" s="11">
        <v>0</v>
      </c>
      <c r="I18" s="35">
        <v>724458</v>
      </c>
      <c r="J18" s="36">
        <f t="shared" si="0"/>
        <v>778458</v>
      </c>
    </row>
    <row r="19" spans="1:10" ht="31.25">
      <c r="A19" s="32">
        <v>10</v>
      </c>
      <c r="B19" s="33" t="s">
        <v>106</v>
      </c>
      <c r="C19" s="34" t="s">
        <v>107</v>
      </c>
      <c r="D19" s="34" t="s">
        <v>108</v>
      </c>
      <c r="E19" s="34">
        <v>1</v>
      </c>
      <c r="F19" s="35">
        <v>0</v>
      </c>
      <c r="G19" s="11">
        <v>27000</v>
      </c>
      <c r="H19" s="35">
        <f>98500+141800</f>
        <v>240300</v>
      </c>
      <c r="I19" s="35">
        <v>0</v>
      </c>
      <c r="J19" s="36">
        <f t="shared" si="0"/>
        <v>267300</v>
      </c>
    </row>
    <row r="20" spans="1:10" ht="31.25">
      <c r="A20" s="32">
        <v>11</v>
      </c>
      <c r="B20" s="33" t="s">
        <v>106</v>
      </c>
      <c r="C20" s="34" t="s">
        <v>107</v>
      </c>
      <c r="D20" s="34" t="s">
        <v>108</v>
      </c>
      <c r="E20" s="34">
        <v>1</v>
      </c>
      <c r="F20" s="35">
        <v>0</v>
      </c>
      <c r="G20" s="11">
        <v>27000</v>
      </c>
      <c r="H20" s="35">
        <f>98500+141800</f>
        <v>240300</v>
      </c>
      <c r="I20" s="35">
        <v>0</v>
      </c>
      <c r="J20" s="36">
        <f t="shared" si="0"/>
        <v>267300</v>
      </c>
    </row>
    <row r="21" spans="1:10" ht="31.25">
      <c r="A21" s="32">
        <v>12</v>
      </c>
      <c r="B21" s="33" t="s">
        <v>109</v>
      </c>
      <c r="C21" s="34" t="s">
        <v>84</v>
      </c>
      <c r="D21" s="34" t="s">
        <v>110</v>
      </c>
      <c r="E21" s="34">
        <v>5</v>
      </c>
      <c r="F21" s="35">
        <v>1000000</v>
      </c>
      <c r="G21" s="11">
        <f>27000*5</f>
        <v>135000</v>
      </c>
      <c r="H21" s="11">
        <v>0</v>
      </c>
      <c r="I21" s="35">
        <f>534175+426510</f>
        <v>960685</v>
      </c>
      <c r="J21" s="36">
        <f t="shared" si="0"/>
        <v>2095685</v>
      </c>
    </row>
    <row r="22" spans="1:10" ht="31.25">
      <c r="A22" s="32">
        <v>13</v>
      </c>
      <c r="B22" s="33" t="s">
        <v>111</v>
      </c>
      <c r="C22" s="34" t="s">
        <v>84</v>
      </c>
      <c r="D22" s="34" t="s">
        <v>112</v>
      </c>
      <c r="E22" s="34">
        <v>2</v>
      </c>
      <c r="F22" s="35">
        <v>250000</v>
      </c>
      <c r="G22" s="11">
        <v>27000</v>
      </c>
      <c r="H22" s="11">
        <v>889579</v>
      </c>
      <c r="I22" s="35">
        <v>0</v>
      </c>
      <c r="J22" s="36">
        <f t="shared" si="0"/>
        <v>1166579</v>
      </c>
    </row>
    <row r="23" spans="1:10" ht="31.25">
      <c r="A23" s="32">
        <v>14</v>
      </c>
      <c r="B23" s="33" t="s">
        <v>113</v>
      </c>
      <c r="C23" s="34" t="s">
        <v>114</v>
      </c>
      <c r="D23" s="34" t="s">
        <v>115</v>
      </c>
      <c r="E23" s="34">
        <v>3</v>
      </c>
      <c r="F23" s="35">
        <f>250000+100000</f>
        <v>350000</v>
      </c>
      <c r="G23" s="11">
        <f>27000*3</f>
        <v>81000</v>
      </c>
      <c r="H23" s="11">
        <v>105000</v>
      </c>
      <c r="I23" s="35">
        <v>0</v>
      </c>
      <c r="J23" s="36">
        <f t="shared" si="0"/>
        <v>536000</v>
      </c>
    </row>
    <row r="24" spans="1:10" ht="31.25">
      <c r="A24" s="32">
        <v>15</v>
      </c>
      <c r="B24" s="33" t="s">
        <v>113</v>
      </c>
      <c r="C24" s="34" t="s">
        <v>114</v>
      </c>
      <c r="D24" s="34" t="s">
        <v>115</v>
      </c>
      <c r="E24" s="34">
        <v>3</v>
      </c>
      <c r="F24" s="35">
        <f>250000+100000</f>
        <v>350000</v>
      </c>
      <c r="G24" s="11">
        <f>27000*3</f>
        <v>81000</v>
      </c>
      <c r="H24" s="11">
        <v>105000</v>
      </c>
      <c r="I24" s="35">
        <v>0</v>
      </c>
      <c r="J24" s="36">
        <f t="shared" si="0"/>
        <v>536000</v>
      </c>
    </row>
    <row r="25" spans="1:10" ht="31.25">
      <c r="A25" s="32">
        <v>16</v>
      </c>
      <c r="B25" s="33" t="s">
        <v>116</v>
      </c>
      <c r="C25" s="34" t="s">
        <v>117</v>
      </c>
      <c r="D25" s="34" t="s">
        <v>118</v>
      </c>
      <c r="E25" s="34">
        <v>2</v>
      </c>
      <c r="F25" s="35">
        <v>170000</v>
      </c>
      <c r="G25" s="11">
        <f>27000*2</f>
        <v>54000</v>
      </c>
      <c r="H25" s="11">
        <v>0</v>
      </c>
      <c r="I25" s="35">
        <v>0</v>
      </c>
      <c r="J25" s="36">
        <f t="shared" si="0"/>
        <v>224000</v>
      </c>
    </row>
    <row r="26" spans="1:10" ht="31.25">
      <c r="A26" s="32">
        <v>17</v>
      </c>
      <c r="B26" s="33" t="s">
        <v>119</v>
      </c>
      <c r="C26" s="34" t="s">
        <v>90</v>
      </c>
      <c r="D26" s="34" t="s">
        <v>120</v>
      </c>
      <c r="E26" s="34">
        <v>3</v>
      </c>
      <c r="F26" s="35">
        <v>600000</v>
      </c>
      <c r="G26" s="11">
        <f>27000*3</f>
        <v>81000</v>
      </c>
      <c r="H26" s="11">
        <v>100000</v>
      </c>
      <c r="I26" s="35">
        <v>0</v>
      </c>
      <c r="J26" s="36">
        <f t="shared" si="0"/>
        <v>781000</v>
      </c>
    </row>
    <row r="27" spans="1:10" ht="31.25">
      <c r="A27" s="32">
        <v>18</v>
      </c>
      <c r="B27" s="33" t="s">
        <v>103</v>
      </c>
      <c r="C27" s="34" t="s">
        <v>107</v>
      </c>
      <c r="D27" s="34" t="s">
        <v>121</v>
      </c>
      <c r="E27" s="34">
        <v>2</v>
      </c>
      <c r="F27" s="35">
        <v>0</v>
      </c>
      <c r="G27" s="11">
        <v>52000</v>
      </c>
      <c r="H27" s="35">
        <f>282000+457000</f>
        <v>739000</v>
      </c>
      <c r="I27" s="35">
        <v>0</v>
      </c>
      <c r="J27" s="36">
        <f t="shared" si="0"/>
        <v>791000</v>
      </c>
    </row>
    <row r="28" spans="1:10" ht="31.25">
      <c r="A28" s="32">
        <v>19</v>
      </c>
      <c r="B28" s="33" t="s">
        <v>122</v>
      </c>
      <c r="C28" s="34" t="s">
        <v>123</v>
      </c>
      <c r="D28" s="34" t="s">
        <v>124</v>
      </c>
      <c r="E28" s="34">
        <v>10</v>
      </c>
      <c r="F28" s="35">
        <f>840000+360000+150000</f>
        <v>1350000</v>
      </c>
      <c r="G28" s="11">
        <f>27000*10</f>
        <v>270000</v>
      </c>
      <c r="H28" s="11">
        <f>152320+149530+438570</f>
        <v>740420</v>
      </c>
      <c r="I28" s="35">
        <v>0</v>
      </c>
      <c r="J28" s="36">
        <f t="shared" si="0"/>
        <v>2360420</v>
      </c>
    </row>
    <row r="29" spans="1:10">
      <c r="A29" s="32">
        <v>20</v>
      </c>
      <c r="B29" s="33">
        <v>44521</v>
      </c>
      <c r="C29" s="34" t="s">
        <v>107</v>
      </c>
      <c r="D29" s="34" t="s">
        <v>125</v>
      </c>
      <c r="E29" s="34">
        <v>1</v>
      </c>
      <c r="F29" s="35">
        <v>0</v>
      </c>
      <c r="G29" s="11">
        <v>27000</v>
      </c>
      <c r="H29" s="11">
        <v>795000</v>
      </c>
      <c r="I29" s="35">
        <v>0</v>
      </c>
      <c r="J29" s="36">
        <f t="shared" si="0"/>
        <v>822000</v>
      </c>
    </row>
    <row r="30" spans="1:10">
      <c r="A30" s="32">
        <v>21</v>
      </c>
      <c r="B30" s="33">
        <v>44518</v>
      </c>
      <c r="C30" s="34" t="s">
        <v>90</v>
      </c>
      <c r="D30" s="34" t="s">
        <v>126</v>
      </c>
      <c r="E30" s="34">
        <v>1</v>
      </c>
      <c r="F30" s="35">
        <v>0</v>
      </c>
      <c r="G30" s="11">
        <v>27000</v>
      </c>
      <c r="H30" s="11">
        <f>204000+142000</f>
        <v>346000</v>
      </c>
      <c r="I30" s="35">
        <v>0</v>
      </c>
      <c r="J30" s="36">
        <f t="shared" si="0"/>
        <v>373000</v>
      </c>
    </row>
    <row r="31" spans="1:10" ht="46.9">
      <c r="A31" s="32">
        <v>22</v>
      </c>
      <c r="B31" s="33" t="s">
        <v>127</v>
      </c>
      <c r="C31" s="34" t="s">
        <v>128</v>
      </c>
      <c r="D31" s="34" t="s">
        <v>129</v>
      </c>
      <c r="E31" s="34">
        <v>9</v>
      </c>
      <c r="F31" s="35">
        <f>170000+150000+250000+600000+200000</f>
        <v>1370000</v>
      </c>
      <c r="G31" s="11">
        <f>27000*9</f>
        <v>243000</v>
      </c>
      <c r="H31" s="11">
        <f>7500+68000+137000</f>
        <v>212500</v>
      </c>
      <c r="I31" s="35">
        <v>0</v>
      </c>
      <c r="J31" s="36">
        <f t="shared" si="0"/>
        <v>1825500</v>
      </c>
    </row>
    <row r="32" spans="1:10" ht="31.25">
      <c r="A32" s="32">
        <v>23</v>
      </c>
      <c r="B32" s="33" t="s">
        <v>130</v>
      </c>
      <c r="C32" s="34" t="s">
        <v>131</v>
      </c>
      <c r="D32" s="34" t="s">
        <v>132</v>
      </c>
      <c r="E32" s="34">
        <v>10</v>
      </c>
      <c r="F32" s="35">
        <v>2000000</v>
      </c>
      <c r="G32" s="11">
        <f>27000*10</f>
        <v>270000</v>
      </c>
      <c r="H32" s="11">
        <v>0</v>
      </c>
      <c r="I32" s="35">
        <v>0</v>
      </c>
      <c r="J32" s="36">
        <f t="shared" si="0"/>
        <v>2270000</v>
      </c>
    </row>
    <row r="33" spans="1:10" ht="31.25">
      <c r="A33" s="32">
        <v>24</v>
      </c>
      <c r="B33" s="33" t="s">
        <v>133</v>
      </c>
      <c r="C33" s="34" t="s">
        <v>131</v>
      </c>
      <c r="D33" s="34" t="s">
        <v>134</v>
      </c>
      <c r="E33" s="34">
        <v>5</v>
      </c>
      <c r="F33" s="35">
        <v>600000</v>
      </c>
      <c r="G33" s="11">
        <f>27000*5</f>
        <v>135000</v>
      </c>
      <c r="H33" s="11">
        <v>0</v>
      </c>
      <c r="I33" s="35">
        <v>0</v>
      </c>
      <c r="J33" s="36">
        <f t="shared" si="0"/>
        <v>735000</v>
      </c>
    </row>
    <row r="34" spans="1:10" ht="31.25">
      <c r="A34" s="32">
        <v>25</v>
      </c>
      <c r="B34" s="33" t="s">
        <v>133</v>
      </c>
      <c r="C34" s="34" t="s">
        <v>131</v>
      </c>
      <c r="D34" s="34" t="s">
        <v>134</v>
      </c>
      <c r="E34" s="34">
        <v>5</v>
      </c>
      <c r="F34" s="35">
        <v>600000</v>
      </c>
      <c r="G34" s="11">
        <f>27000*5</f>
        <v>135000</v>
      </c>
      <c r="H34" s="11">
        <v>0</v>
      </c>
      <c r="I34" s="35">
        <v>0</v>
      </c>
      <c r="J34" s="36">
        <f t="shared" si="0"/>
        <v>735000</v>
      </c>
    </row>
    <row r="35" spans="1:10" ht="31.25">
      <c r="A35" s="32">
        <v>26</v>
      </c>
      <c r="B35" s="33" t="s">
        <v>133</v>
      </c>
      <c r="C35" s="34" t="s">
        <v>131</v>
      </c>
      <c r="D35" s="34" t="s">
        <v>134</v>
      </c>
      <c r="E35" s="34">
        <v>5</v>
      </c>
      <c r="F35" s="35">
        <v>800000</v>
      </c>
      <c r="G35" s="11">
        <f>27000*5</f>
        <v>135000</v>
      </c>
      <c r="H35" s="11">
        <v>0</v>
      </c>
      <c r="I35" s="35">
        <v>0</v>
      </c>
      <c r="J35" s="36">
        <f t="shared" si="0"/>
        <v>935000</v>
      </c>
    </row>
    <row r="36" spans="1:10" ht="46.9">
      <c r="A36" s="32">
        <v>27</v>
      </c>
      <c r="B36" s="33" t="s">
        <v>135</v>
      </c>
      <c r="C36" s="34" t="s">
        <v>136</v>
      </c>
      <c r="D36" s="34" t="s">
        <v>137</v>
      </c>
      <c r="E36" s="34">
        <v>7</v>
      </c>
      <c r="F36" s="35">
        <f>200000+150000+150000</f>
        <v>500000</v>
      </c>
      <c r="G36" s="11">
        <f>27000*7</f>
        <v>189000</v>
      </c>
      <c r="H36" s="11">
        <f>157320+152320+236850</f>
        <v>546490</v>
      </c>
      <c r="I36" s="35">
        <v>0</v>
      </c>
      <c r="J36" s="36">
        <f t="shared" si="0"/>
        <v>1235490</v>
      </c>
    </row>
    <row r="37" spans="1:10" ht="31.25">
      <c r="A37" s="32">
        <v>28</v>
      </c>
      <c r="B37" s="33" t="s">
        <v>138</v>
      </c>
      <c r="C37" s="34" t="s">
        <v>139</v>
      </c>
      <c r="D37" s="34" t="s">
        <v>140</v>
      </c>
      <c r="E37" s="34">
        <v>2</v>
      </c>
      <c r="F37" s="35">
        <v>0</v>
      </c>
      <c r="G37" s="11">
        <f>27000*2</f>
        <v>54000</v>
      </c>
      <c r="H37" s="11">
        <v>450000</v>
      </c>
      <c r="I37" s="35">
        <v>0</v>
      </c>
      <c r="J37" s="36">
        <f t="shared" si="0"/>
        <v>504000</v>
      </c>
    </row>
    <row r="38" spans="1:10" ht="31.25">
      <c r="A38" s="32">
        <v>29</v>
      </c>
      <c r="B38" s="33" t="s">
        <v>141</v>
      </c>
      <c r="C38" s="34" t="s">
        <v>142</v>
      </c>
      <c r="D38" s="34" t="s">
        <v>143</v>
      </c>
      <c r="E38" s="34">
        <v>3</v>
      </c>
      <c r="F38" s="35">
        <v>0</v>
      </c>
      <c r="G38" s="11">
        <f>27000*3</f>
        <v>81000</v>
      </c>
      <c r="H38" s="11">
        <v>616000</v>
      </c>
      <c r="I38" s="35">
        <v>0</v>
      </c>
      <c r="J38" s="36">
        <f t="shared" si="0"/>
        <v>697000</v>
      </c>
    </row>
    <row r="39" spans="1:10" ht="31.25">
      <c r="A39" s="32">
        <v>30</v>
      </c>
      <c r="B39" s="33" t="s">
        <v>144</v>
      </c>
      <c r="C39" s="34" t="s">
        <v>131</v>
      </c>
      <c r="D39" s="34" t="s">
        <v>145</v>
      </c>
      <c r="E39" s="34">
        <v>10</v>
      </c>
      <c r="F39" s="35">
        <v>2000000</v>
      </c>
      <c r="G39" s="11">
        <f>27000*10</f>
        <v>270000</v>
      </c>
      <c r="H39" s="11">
        <v>0</v>
      </c>
      <c r="I39" s="35">
        <v>0</v>
      </c>
      <c r="J39" s="36">
        <f t="shared" si="0"/>
        <v>2270000</v>
      </c>
    </row>
    <row r="40" spans="1:10" ht="31.25">
      <c r="A40" s="32">
        <v>31</v>
      </c>
      <c r="B40" s="33" t="s">
        <v>146</v>
      </c>
      <c r="C40" s="34" t="s">
        <v>147</v>
      </c>
      <c r="D40" s="34" t="s">
        <v>148</v>
      </c>
      <c r="E40" s="34">
        <v>4</v>
      </c>
      <c r="F40" s="35">
        <v>1000000</v>
      </c>
      <c r="G40" s="11">
        <f>27000*4</f>
        <v>108000</v>
      </c>
      <c r="H40" s="11">
        <v>346700</v>
      </c>
      <c r="I40" s="35">
        <v>0</v>
      </c>
      <c r="J40" s="36">
        <f t="shared" si="0"/>
        <v>1454700</v>
      </c>
    </row>
    <row r="41" spans="1:10" ht="31.25">
      <c r="A41" s="32">
        <v>32</v>
      </c>
      <c r="B41" s="33" t="s">
        <v>149</v>
      </c>
      <c r="C41" s="34" t="s">
        <v>131</v>
      </c>
      <c r="D41" s="34" t="s">
        <v>134</v>
      </c>
      <c r="E41" s="34">
        <v>4</v>
      </c>
      <c r="F41" s="35">
        <v>800000</v>
      </c>
      <c r="G41" s="11">
        <f>27000*4</f>
        <v>108000</v>
      </c>
      <c r="H41" s="11">
        <f>540000+180000+150000</f>
        <v>870000</v>
      </c>
      <c r="I41" s="35">
        <v>0</v>
      </c>
      <c r="J41" s="36">
        <f t="shared" si="0"/>
        <v>1778000</v>
      </c>
    </row>
    <row r="42" spans="1:10" ht="31.25">
      <c r="A42" s="32">
        <v>33</v>
      </c>
      <c r="B42" s="33" t="s">
        <v>144</v>
      </c>
      <c r="C42" s="34" t="s">
        <v>131</v>
      </c>
      <c r="D42" s="34" t="s">
        <v>150</v>
      </c>
      <c r="E42" s="34">
        <v>11</v>
      </c>
      <c r="F42" s="35">
        <v>2000000</v>
      </c>
      <c r="G42" s="11">
        <f>E42*27000</f>
        <v>297000</v>
      </c>
      <c r="H42" s="35">
        <f>210000+200000+348000+370000</f>
        <v>1128000</v>
      </c>
      <c r="I42" s="35">
        <v>0</v>
      </c>
      <c r="J42" s="36">
        <f t="shared" si="0"/>
        <v>3425000</v>
      </c>
    </row>
    <row r="43" spans="1:10" ht="31.25">
      <c r="A43" s="32">
        <v>34</v>
      </c>
      <c r="B43" s="33" t="s">
        <v>151</v>
      </c>
      <c r="C43" s="34" t="s">
        <v>147</v>
      </c>
      <c r="D43" s="34" t="s">
        <v>148</v>
      </c>
      <c r="E43" s="34">
        <v>7</v>
      </c>
      <c r="F43" s="35">
        <v>1500000</v>
      </c>
      <c r="G43" s="11">
        <f>7*27000</f>
        <v>189000</v>
      </c>
      <c r="H43" s="35">
        <v>0</v>
      </c>
      <c r="I43" s="35">
        <v>0</v>
      </c>
      <c r="J43" s="36">
        <f t="shared" si="0"/>
        <v>1689000</v>
      </c>
    </row>
    <row r="44" spans="1:10" ht="31.25">
      <c r="A44" s="32">
        <v>35</v>
      </c>
      <c r="B44" s="33" t="s">
        <v>152</v>
      </c>
      <c r="C44" s="34" t="s">
        <v>147</v>
      </c>
      <c r="D44" s="34" t="s">
        <v>153</v>
      </c>
      <c r="E44" s="34">
        <v>20</v>
      </c>
      <c r="F44" s="35">
        <v>5700000</v>
      </c>
      <c r="G44" s="11">
        <f>20*27000</f>
        <v>540000</v>
      </c>
      <c r="H44" s="11">
        <v>152366</v>
      </c>
      <c r="I44" s="35">
        <v>0</v>
      </c>
      <c r="J44" s="36">
        <f t="shared" si="0"/>
        <v>6392366</v>
      </c>
    </row>
    <row r="45" spans="1:10" ht="31.25">
      <c r="A45" s="32">
        <v>36</v>
      </c>
      <c r="B45" s="33" t="s">
        <v>154</v>
      </c>
      <c r="C45" s="34" t="s">
        <v>155</v>
      </c>
      <c r="D45" s="34" t="s">
        <v>156</v>
      </c>
      <c r="E45" s="34">
        <v>6</v>
      </c>
      <c r="F45" s="35">
        <v>1500000</v>
      </c>
      <c r="G45" s="11">
        <f>27000*6</f>
        <v>162000</v>
      </c>
      <c r="H45" s="11">
        <f>409403+378315</f>
        <v>787718</v>
      </c>
      <c r="I45" s="35">
        <v>0</v>
      </c>
      <c r="J45" s="36">
        <f t="shared" si="0"/>
        <v>2449718</v>
      </c>
    </row>
    <row r="46" spans="1:10" ht="31.25">
      <c r="A46" s="32">
        <v>37</v>
      </c>
      <c r="B46" s="33" t="s">
        <v>157</v>
      </c>
      <c r="C46" s="34" t="s">
        <v>158</v>
      </c>
      <c r="D46" s="34" t="s">
        <v>159</v>
      </c>
      <c r="E46" s="34">
        <v>3</v>
      </c>
      <c r="F46" s="35">
        <v>999000</v>
      </c>
      <c r="G46" s="11">
        <f>27000*3</f>
        <v>81000</v>
      </c>
      <c r="H46" s="11">
        <f>530000+350000+350000</f>
        <v>1230000</v>
      </c>
      <c r="I46" s="35">
        <v>0</v>
      </c>
      <c r="J46" s="36">
        <f t="shared" si="0"/>
        <v>2310000</v>
      </c>
    </row>
    <row r="47" spans="1:10" ht="31.25">
      <c r="A47" s="32">
        <v>38</v>
      </c>
      <c r="B47" s="33" t="s">
        <v>160</v>
      </c>
      <c r="C47" s="34" t="s">
        <v>99</v>
      </c>
      <c r="D47" s="34" t="s">
        <v>161</v>
      </c>
      <c r="E47" s="34">
        <v>7</v>
      </c>
      <c r="F47" s="35">
        <v>0</v>
      </c>
      <c r="G47" s="11">
        <f>27000*7</f>
        <v>189000</v>
      </c>
      <c r="H47" s="11">
        <v>0</v>
      </c>
      <c r="I47" s="35">
        <v>0</v>
      </c>
      <c r="J47" s="36">
        <f t="shared" si="0"/>
        <v>189000</v>
      </c>
    </row>
    <row r="48" spans="1:10" ht="31.25">
      <c r="A48" s="32">
        <v>39</v>
      </c>
      <c r="B48" s="33" t="s">
        <v>588</v>
      </c>
      <c r="C48" s="34" t="s">
        <v>99</v>
      </c>
      <c r="D48" s="34" t="s">
        <v>162</v>
      </c>
      <c r="E48" s="34">
        <v>2</v>
      </c>
      <c r="F48" s="35">
        <v>0</v>
      </c>
      <c r="G48" s="11">
        <f>27000*2</f>
        <v>54000</v>
      </c>
      <c r="H48" s="11">
        <v>165000</v>
      </c>
      <c r="I48" s="35">
        <v>0</v>
      </c>
      <c r="J48" s="36">
        <f t="shared" si="0"/>
        <v>219000</v>
      </c>
    </row>
    <row r="49" spans="1:10" ht="31.25">
      <c r="A49" s="32">
        <v>40</v>
      </c>
      <c r="B49" s="33" t="s">
        <v>163</v>
      </c>
      <c r="C49" s="34" t="s">
        <v>164</v>
      </c>
      <c r="D49" s="34" t="s">
        <v>165</v>
      </c>
      <c r="E49" s="34">
        <v>6</v>
      </c>
      <c r="F49" s="35">
        <f>200000+70000+200000+150000</f>
        <v>620000</v>
      </c>
      <c r="G49" s="11">
        <f>27000*6</f>
        <v>162000</v>
      </c>
      <c r="H49" s="11">
        <f>141000+146140</f>
        <v>287140</v>
      </c>
      <c r="I49" s="35">
        <v>0</v>
      </c>
      <c r="J49" s="36">
        <f t="shared" si="0"/>
        <v>1069140</v>
      </c>
    </row>
    <row r="50" spans="1:10" ht="31.25">
      <c r="A50" s="32">
        <v>41</v>
      </c>
      <c r="B50" s="33" t="s">
        <v>166</v>
      </c>
      <c r="C50" s="34" t="s">
        <v>99</v>
      </c>
      <c r="D50" s="34" t="s">
        <v>167</v>
      </c>
      <c r="E50" s="34">
        <v>31</v>
      </c>
      <c r="F50" s="35">
        <v>0</v>
      </c>
      <c r="G50" s="11">
        <f>27000*31</f>
        <v>837000</v>
      </c>
      <c r="H50" s="11">
        <v>0</v>
      </c>
      <c r="I50" s="35">
        <v>0</v>
      </c>
      <c r="J50" s="36">
        <f t="shared" si="0"/>
        <v>837000</v>
      </c>
    </row>
    <row r="51" spans="1:10" ht="31.25">
      <c r="A51" s="32">
        <v>42</v>
      </c>
      <c r="B51" s="33" t="s">
        <v>168</v>
      </c>
      <c r="C51" s="34" t="s">
        <v>99</v>
      </c>
      <c r="D51" s="34" t="s">
        <v>169</v>
      </c>
      <c r="E51" s="34">
        <v>7</v>
      </c>
      <c r="F51" s="35">
        <f>360000+180000</f>
        <v>540000</v>
      </c>
      <c r="G51" s="11">
        <f>24500*7</f>
        <v>171500</v>
      </c>
      <c r="H51" s="35">
        <f>231850+245870</f>
        <v>477720</v>
      </c>
      <c r="I51" s="35">
        <v>0</v>
      </c>
      <c r="J51" s="36">
        <f t="shared" si="0"/>
        <v>1189220</v>
      </c>
    </row>
    <row r="52" spans="1:10" ht="31.25">
      <c r="A52" s="32">
        <v>43</v>
      </c>
      <c r="B52" s="33" t="s">
        <v>170</v>
      </c>
      <c r="C52" s="34" t="s">
        <v>81</v>
      </c>
      <c r="D52" s="34" t="s">
        <v>171</v>
      </c>
      <c r="E52" s="34">
        <v>5</v>
      </c>
      <c r="F52" s="35">
        <v>1380000</v>
      </c>
      <c r="G52" s="11">
        <f>27000*5</f>
        <v>135000</v>
      </c>
      <c r="H52" s="11">
        <v>0</v>
      </c>
      <c r="I52" s="35">
        <v>0</v>
      </c>
      <c r="J52" s="36">
        <f t="shared" si="0"/>
        <v>1515000</v>
      </c>
    </row>
    <row r="53" spans="1:10" ht="46.9">
      <c r="A53" s="32">
        <v>44</v>
      </c>
      <c r="B53" s="33" t="s">
        <v>172</v>
      </c>
      <c r="C53" s="34" t="s">
        <v>173</v>
      </c>
      <c r="D53" s="34" t="s">
        <v>174</v>
      </c>
      <c r="E53" s="34">
        <v>5</v>
      </c>
      <c r="F53" s="35">
        <v>1000000</v>
      </c>
      <c r="G53" s="11">
        <f>27000*5</f>
        <v>135000</v>
      </c>
      <c r="H53" s="11">
        <v>273550</v>
      </c>
      <c r="I53" s="35">
        <v>0</v>
      </c>
      <c r="J53" s="36">
        <f t="shared" si="0"/>
        <v>1408550</v>
      </c>
    </row>
    <row r="54" spans="1:10" ht="31.25">
      <c r="A54" s="32">
        <v>45</v>
      </c>
      <c r="B54" s="33" t="s">
        <v>170</v>
      </c>
      <c r="C54" s="34" t="s">
        <v>81</v>
      </c>
      <c r="D54" s="34" t="s">
        <v>171</v>
      </c>
      <c r="E54" s="34">
        <v>5</v>
      </c>
      <c r="F54" s="35">
        <v>1100000</v>
      </c>
      <c r="G54" s="11">
        <f>27000*5</f>
        <v>135000</v>
      </c>
      <c r="H54" s="11">
        <v>157320</v>
      </c>
      <c r="I54" s="35">
        <v>0</v>
      </c>
      <c r="J54" s="36">
        <f t="shared" si="0"/>
        <v>1392320</v>
      </c>
    </row>
    <row r="55" spans="1:10" ht="31.25">
      <c r="A55" s="32">
        <v>46</v>
      </c>
      <c r="B55" s="33" t="s">
        <v>175</v>
      </c>
      <c r="C55" s="34" t="s">
        <v>176</v>
      </c>
      <c r="D55" s="34" t="s">
        <v>177</v>
      </c>
      <c r="E55" s="34">
        <v>17</v>
      </c>
      <c r="F55" s="35">
        <v>1065000</v>
      </c>
      <c r="G55" s="11">
        <f>27000*17</f>
        <v>459000</v>
      </c>
      <c r="H55" s="11">
        <f>431950+180000+227500</f>
        <v>839450</v>
      </c>
      <c r="I55" s="35">
        <v>0</v>
      </c>
      <c r="J55" s="36">
        <f t="shared" si="0"/>
        <v>2363450</v>
      </c>
    </row>
    <row r="56" spans="1:10" ht="31.25">
      <c r="A56" s="32">
        <v>47</v>
      </c>
      <c r="B56" s="33" t="s">
        <v>178</v>
      </c>
      <c r="C56" s="34" t="s">
        <v>179</v>
      </c>
      <c r="D56" s="34" t="s">
        <v>180</v>
      </c>
      <c r="E56" s="34">
        <v>5</v>
      </c>
      <c r="F56" s="35">
        <v>600000</v>
      </c>
      <c r="G56" s="11">
        <f>27000*5</f>
        <v>135000</v>
      </c>
      <c r="H56" s="11">
        <f>440000+375000+353000+479000</f>
        <v>1647000</v>
      </c>
      <c r="I56" s="35">
        <v>0</v>
      </c>
      <c r="J56" s="36">
        <f t="shared" si="0"/>
        <v>2382000</v>
      </c>
    </row>
    <row r="57" spans="1:10" ht="31.25">
      <c r="A57" s="32">
        <v>48</v>
      </c>
      <c r="B57" s="33" t="s">
        <v>181</v>
      </c>
      <c r="C57" s="34" t="s">
        <v>81</v>
      </c>
      <c r="D57" s="34" t="s">
        <v>182</v>
      </c>
      <c r="E57" s="34">
        <v>3</v>
      </c>
      <c r="F57" s="35">
        <v>300000</v>
      </c>
      <c r="G57" s="11">
        <f>24500*3</f>
        <v>73500</v>
      </c>
      <c r="H57" s="11">
        <v>0</v>
      </c>
      <c r="I57" s="35">
        <v>0</v>
      </c>
      <c r="J57" s="36">
        <f t="shared" si="0"/>
        <v>373500</v>
      </c>
    </row>
    <row r="58" spans="1:10" ht="31.25">
      <c r="A58" s="32">
        <v>49</v>
      </c>
      <c r="B58" s="33" t="s">
        <v>183</v>
      </c>
      <c r="C58" s="34" t="s">
        <v>131</v>
      </c>
      <c r="D58" s="34" t="s">
        <v>184</v>
      </c>
      <c r="E58" s="34">
        <v>10</v>
      </c>
      <c r="F58" s="35">
        <f>200000+300000+300000</f>
        <v>800000</v>
      </c>
      <c r="G58" s="11">
        <f>27000*10</f>
        <v>270000</v>
      </c>
      <c r="H58" s="11">
        <v>0</v>
      </c>
      <c r="I58" s="35">
        <v>0</v>
      </c>
      <c r="J58" s="36">
        <f t="shared" si="0"/>
        <v>1070000</v>
      </c>
    </row>
    <row r="59" spans="1:10" ht="31.25">
      <c r="A59" s="32">
        <v>50</v>
      </c>
      <c r="B59" s="33" t="s">
        <v>185</v>
      </c>
      <c r="C59" s="34" t="s">
        <v>164</v>
      </c>
      <c r="D59" s="34" t="s">
        <v>186</v>
      </c>
      <c r="E59" s="34">
        <v>12</v>
      </c>
      <c r="F59" s="35">
        <f>250000+1500000+1000000</f>
        <v>2750000</v>
      </c>
      <c r="G59" s="11">
        <f>27000*12</f>
        <v>324000</v>
      </c>
      <c r="H59" s="11">
        <f>100300+270000+252000+280800+248000+62000+126000+274000+292500+277500</f>
        <v>2183100</v>
      </c>
      <c r="I59" s="35">
        <v>0</v>
      </c>
      <c r="J59" s="36">
        <f t="shared" si="0"/>
        <v>5257100</v>
      </c>
    </row>
    <row r="60" spans="1:10" ht="31.25">
      <c r="A60" s="32">
        <v>51</v>
      </c>
      <c r="B60" s="33" t="s">
        <v>187</v>
      </c>
      <c r="C60" s="34" t="s">
        <v>188</v>
      </c>
      <c r="D60" s="34" t="s">
        <v>189</v>
      </c>
      <c r="E60" s="34">
        <v>16</v>
      </c>
      <c r="F60" s="35">
        <v>400000</v>
      </c>
      <c r="G60" s="11">
        <f>27000*16</f>
        <v>432000</v>
      </c>
      <c r="H60" s="11">
        <f>297000+100000+100000+270000+256000+296000</f>
        <v>1319000</v>
      </c>
      <c r="I60" s="35">
        <v>0</v>
      </c>
      <c r="J60" s="36">
        <f t="shared" si="0"/>
        <v>2151000</v>
      </c>
    </row>
    <row r="61" spans="1:10" ht="31.25">
      <c r="A61" s="32">
        <v>52</v>
      </c>
      <c r="B61" s="33" t="s">
        <v>190</v>
      </c>
      <c r="C61" s="34" t="s">
        <v>164</v>
      </c>
      <c r="D61" s="34" t="s">
        <v>191</v>
      </c>
      <c r="E61" s="34">
        <v>7</v>
      </c>
      <c r="F61" s="35">
        <v>1500000</v>
      </c>
      <c r="G61" s="11">
        <f>27000*7</f>
        <v>189000</v>
      </c>
      <c r="H61" s="11">
        <f>100000+152320</f>
        <v>252320</v>
      </c>
      <c r="I61" s="35">
        <v>0</v>
      </c>
      <c r="J61" s="36">
        <f t="shared" si="0"/>
        <v>1941320</v>
      </c>
    </row>
    <row r="62" spans="1:10" ht="31.25">
      <c r="A62" s="32">
        <v>53</v>
      </c>
      <c r="B62" s="33" t="s">
        <v>192</v>
      </c>
      <c r="C62" s="34" t="s">
        <v>193</v>
      </c>
      <c r="D62" s="34" t="s">
        <v>194</v>
      </c>
      <c r="E62" s="34">
        <v>0</v>
      </c>
      <c r="F62" s="35">
        <v>3937300</v>
      </c>
      <c r="G62" s="11">
        <v>0</v>
      </c>
      <c r="H62" s="11">
        <v>0</v>
      </c>
      <c r="I62" s="35">
        <v>0</v>
      </c>
      <c r="J62" s="36">
        <f t="shared" si="0"/>
        <v>3937300</v>
      </c>
    </row>
    <row r="63" spans="1:10" ht="31.25">
      <c r="A63" s="32">
        <v>54</v>
      </c>
      <c r="B63" s="33" t="s">
        <v>195</v>
      </c>
      <c r="C63" s="34" t="s">
        <v>196</v>
      </c>
      <c r="D63" s="34" t="s">
        <v>197</v>
      </c>
      <c r="E63" s="34">
        <v>5</v>
      </c>
      <c r="F63" s="35">
        <v>2500000</v>
      </c>
      <c r="G63" s="11">
        <f>27000*5</f>
        <v>135000</v>
      </c>
      <c r="H63" s="11">
        <v>178110</v>
      </c>
      <c r="I63" s="35">
        <v>0</v>
      </c>
      <c r="J63" s="36">
        <f t="shared" si="0"/>
        <v>2813110</v>
      </c>
    </row>
    <row r="64" spans="1:10" ht="31.25">
      <c r="A64" s="32">
        <v>55</v>
      </c>
      <c r="B64" s="33" t="s">
        <v>198</v>
      </c>
      <c r="C64" s="34" t="s">
        <v>164</v>
      </c>
      <c r="D64" s="34" t="s">
        <v>199</v>
      </c>
      <c r="E64" s="34">
        <v>11</v>
      </c>
      <c r="F64" s="35">
        <v>2250000</v>
      </c>
      <c r="G64" s="11">
        <f>27000*11</f>
        <v>297000</v>
      </c>
      <c r="H64" s="11">
        <f>152320+152320</f>
        <v>304640</v>
      </c>
      <c r="I64" s="35">
        <v>0</v>
      </c>
      <c r="J64" s="36">
        <f t="shared" si="0"/>
        <v>2851640</v>
      </c>
    </row>
    <row r="65" spans="1:10" ht="31.25">
      <c r="A65" s="32">
        <v>56</v>
      </c>
      <c r="B65" s="33" t="s">
        <v>200</v>
      </c>
      <c r="C65" s="34" t="s">
        <v>107</v>
      </c>
      <c r="D65" s="34" t="s">
        <v>201</v>
      </c>
      <c r="E65" s="34">
        <v>3</v>
      </c>
      <c r="F65" s="35">
        <v>340000</v>
      </c>
      <c r="G65" s="11">
        <f>27000*3</f>
        <v>81000</v>
      </c>
      <c r="H65" s="11">
        <f>108600+108600</f>
        <v>217200</v>
      </c>
      <c r="I65" s="35">
        <v>0</v>
      </c>
      <c r="J65" s="36">
        <f t="shared" si="0"/>
        <v>638200</v>
      </c>
    </row>
    <row r="66" spans="1:10" ht="31.25">
      <c r="A66" s="32">
        <v>57</v>
      </c>
      <c r="B66" s="33" t="s">
        <v>202</v>
      </c>
      <c r="C66" s="34" t="s">
        <v>81</v>
      </c>
      <c r="D66" s="34" t="s">
        <v>203</v>
      </c>
      <c r="E66" s="34">
        <v>4</v>
      </c>
      <c r="F66" s="35">
        <v>0</v>
      </c>
      <c r="G66" s="11">
        <f>27000*4</f>
        <v>108000</v>
      </c>
      <c r="H66" s="11">
        <f>157320*2</f>
        <v>314640</v>
      </c>
      <c r="I66" s="35">
        <v>0</v>
      </c>
      <c r="J66" s="36">
        <f t="shared" si="0"/>
        <v>422640</v>
      </c>
    </row>
    <row r="67" spans="1:10" ht="31.25">
      <c r="A67" s="32">
        <v>58</v>
      </c>
      <c r="B67" s="33" t="s">
        <v>204</v>
      </c>
      <c r="C67" s="34" t="s">
        <v>131</v>
      </c>
      <c r="D67" s="34" t="s">
        <v>205</v>
      </c>
      <c r="E67" s="34">
        <v>14</v>
      </c>
      <c r="F67" s="35">
        <f>1100000+170000+200000</f>
        <v>1470000</v>
      </c>
      <c r="G67" s="11">
        <f>27000*14</f>
        <v>378000</v>
      </c>
      <c r="H67" s="11">
        <v>0</v>
      </c>
      <c r="I67" s="35">
        <v>0</v>
      </c>
      <c r="J67" s="36">
        <f t="shared" si="0"/>
        <v>1848000</v>
      </c>
    </row>
    <row r="68" spans="1:10" ht="31.25">
      <c r="A68" s="32">
        <v>59</v>
      </c>
      <c r="B68" s="33" t="s">
        <v>204</v>
      </c>
      <c r="C68" s="34" t="s">
        <v>131</v>
      </c>
      <c r="D68" s="34" t="s">
        <v>205</v>
      </c>
      <c r="E68" s="34">
        <v>14</v>
      </c>
      <c r="F68" s="35">
        <f>200000+1100000+170000</f>
        <v>1470000</v>
      </c>
      <c r="G68" s="11">
        <f>27000*14</f>
        <v>378000</v>
      </c>
      <c r="H68" s="11">
        <f>210000+120000+100000+560000+148000+457500+368000+124000+181500</f>
        <v>2269000</v>
      </c>
      <c r="I68" s="35">
        <v>0</v>
      </c>
      <c r="J68" s="36">
        <f t="shared" si="0"/>
        <v>4117000</v>
      </c>
    </row>
    <row r="69" spans="1:10" ht="31.25">
      <c r="A69" s="32">
        <v>60</v>
      </c>
      <c r="B69" s="33" t="s">
        <v>206</v>
      </c>
      <c r="C69" s="34" t="s">
        <v>147</v>
      </c>
      <c r="D69" s="34" t="s">
        <v>207</v>
      </c>
      <c r="E69" s="34">
        <v>35</v>
      </c>
      <c r="F69" s="35">
        <f>6480000+840000+2800000</f>
        <v>10120000</v>
      </c>
      <c r="G69" s="11">
        <f>27000*35</f>
        <v>945000</v>
      </c>
      <c r="H69" s="11">
        <f>84180+150000</f>
        <v>234180</v>
      </c>
      <c r="I69" s="35">
        <v>0</v>
      </c>
      <c r="J69" s="36">
        <f t="shared" si="0"/>
        <v>11299180</v>
      </c>
    </row>
    <row r="70" spans="1:10" ht="31.25">
      <c r="A70" s="32">
        <v>61</v>
      </c>
      <c r="B70" s="33" t="s">
        <v>208</v>
      </c>
      <c r="C70" s="34" t="s">
        <v>147</v>
      </c>
      <c r="D70" s="34" t="s">
        <v>207</v>
      </c>
      <c r="E70" s="34">
        <v>26</v>
      </c>
      <c r="F70" s="35">
        <f>5880000+880000</f>
        <v>6760000</v>
      </c>
      <c r="G70" s="11">
        <f>27000*26</f>
        <v>702000</v>
      </c>
      <c r="H70" s="11">
        <f>120570+150000</f>
        <v>270570</v>
      </c>
      <c r="I70" s="35">
        <v>0</v>
      </c>
      <c r="J70" s="36">
        <f t="shared" si="0"/>
        <v>7732570</v>
      </c>
    </row>
    <row r="71" spans="1:10" ht="31.25">
      <c r="A71" s="32">
        <v>62</v>
      </c>
      <c r="B71" s="33" t="s">
        <v>209</v>
      </c>
      <c r="C71" s="34" t="s">
        <v>81</v>
      </c>
      <c r="D71" s="34" t="s">
        <v>210</v>
      </c>
      <c r="E71" s="34">
        <v>3</v>
      </c>
      <c r="F71" s="35">
        <v>1200000</v>
      </c>
      <c r="G71" s="11">
        <f>24500*3</f>
        <v>73500</v>
      </c>
      <c r="H71" s="11">
        <v>0</v>
      </c>
      <c r="I71" s="35">
        <v>0</v>
      </c>
      <c r="J71" s="36">
        <f t="shared" si="0"/>
        <v>1273500</v>
      </c>
    </row>
    <row r="72" spans="1:10" ht="31.25">
      <c r="A72" s="32">
        <v>63</v>
      </c>
      <c r="B72" s="33" t="s">
        <v>211</v>
      </c>
      <c r="C72" s="34" t="s">
        <v>99</v>
      </c>
      <c r="D72" s="34" t="s">
        <v>197</v>
      </c>
      <c r="E72" s="34">
        <v>11</v>
      </c>
      <c r="F72" s="35">
        <v>750000</v>
      </c>
      <c r="G72" s="11">
        <f>24500*11</f>
        <v>269500</v>
      </c>
      <c r="H72" s="11">
        <v>479500</v>
      </c>
      <c r="I72" s="35">
        <v>0</v>
      </c>
      <c r="J72" s="36">
        <f t="shared" si="0"/>
        <v>1499000</v>
      </c>
    </row>
    <row r="73" spans="1:10" ht="31.25">
      <c r="A73" s="32">
        <v>64</v>
      </c>
      <c r="B73" s="33" t="s">
        <v>212</v>
      </c>
      <c r="C73" s="34" t="s">
        <v>213</v>
      </c>
      <c r="D73" s="34" t="s">
        <v>214</v>
      </c>
      <c r="E73" s="34">
        <v>5</v>
      </c>
      <c r="F73" s="35">
        <v>0</v>
      </c>
      <c r="G73" s="11">
        <f>27000*5</f>
        <v>135000</v>
      </c>
      <c r="H73" s="11">
        <v>0</v>
      </c>
      <c r="I73" s="35">
        <v>0</v>
      </c>
      <c r="J73" s="36">
        <f t="shared" si="0"/>
        <v>135000</v>
      </c>
    </row>
    <row r="74" spans="1:10" ht="31.25">
      <c r="A74" s="32">
        <v>65</v>
      </c>
      <c r="B74" s="33" t="s">
        <v>215</v>
      </c>
      <c r="C74" s="34" t="s">
        <v>179</v>
      </c>
      <c r="D74" s="34" t="s">
        <v>216</v>
      </c>
      <c r="E74" s="34">
        <v>2</v>
      </c>
      <c r="F74" s="35">
        <v>500000</v>
      </c>
      <c r="G74" s="11">
        <f>27000*2</f>
        <v>54000</v>
      </c>
      <c r="H74" s="11">
        <f>105000*2</f>
        <v>210000</v>
      </c>
      <c r="I74" s="35">
        <v>0</v>
      </c>
      <c r="J74" s="36">
        <f t="shared" ref="J74:J137" si="1">+F74+G74+H74+I74</f>
        <v>764000</v>
      </c>
    </row>
    <row r="75" spans="1:10" ht="31.25">
      <c r="A75" s="32">
        <v>66</v>
      </c>
      <c r="B75" s="33" t="s">
        <v>215</v>
      </c>
      <c r="C75" s="34" t="s">
        <v>179</v>
      </c>
      <c r="D75" s="34" t="s">
        <v>216</v>
      </c>
      <c r="E75" s="34">
        <v>2</v>
      </c>
      <c r="F75" s="35">
        <v>500000</v>
      </c>
      <c r="G75" s="11">
        <f>27000*2</f>
        <v>54000</v>
      </c>
      <c r="H75" s="11">
        <v>210000</v>
      </c>
      <c r="I75" s="35">
        <v>0</v>
      </c>
      <c r="J75" s="36">
        <f t="shared" si="1"/>
        <v>764000</v>
      </c>
    </row>
    <row r="76" spans="1:10" ht="31.25">
      <c r="A76" s="32">
        <v>67</v>
      </c>
      <c r="B76" s="33" t="s">
        <v>217</v>
      </c>
      <c r="C76" s="34" t="s">
        <v>164</v>
      </c>
      <c r="D76" s="34" t="s">
        <v>216</v>
      </c>
      <c r="E76" s="34">
        <v>5</v>
      </c>
      <c r="F76" s="35">
        <v>1200000</v>
      </c>
      <c r="G76" s="11">
        <f>27000*5</f>
        <v>135000</v>
      </c>
      <c r="H76" s="11">
        <f>146000+52800</f>
        <v>198800</v>
      </c>
      <c r="I76" s="35">
        <v>0</v>
      </c>
      <c r="J76" s="36">
        <f t="shared" si="1"/>
        <v>1533800</v>
      </c>
    </row>
    <row r="77" spans="1:10" ht="31.25">
      <c r="A77" s="32">
        <v>68</v>
      </c>
      <c r="B77" s="33" t="s">
        <v>218</v>
      </c>
      <c r="C77" s="34" t="s">
        <v>213</v>
      </c>
      <c r="D77" s="34" t="s">
        <v>216</v>
      </c>
      <c r="E77" s="34">
        <v>4</v>
      </c>
      <c r="F77" s="35">
        <f>4*140000</f>
        <v>560000</v>
      </c>
      <c r="G77" s="11">
        <f>27000*5</f>
        <v>135000</v>
      </c>
      <c r="H77" s="11">
        <f>379000+195000</f>
        <v>574000</v>
      </c>
      <c r="I77" s="35">
        <v>0</v>
      </c>
      <c r="J77" s="36">
        <f t="shared" si="1"/>
        <v>1269000</v>
      </c>
    </row>
    <row r="78" spans="1:10" ht="31.25">
      <c r="A78" s="32">
        <v>69</v>
      </c>
      <c r="B78" s="33" t="s">
        <v>195</v>
      </c>
      <c r="C78" s="34" t="s">
        <v>219</v>
      </c>
      <c r="D78" s="34" t="s">
        <v>216</v>
      </c>
      <c r="E78" s="34">
        <v>5</v>
      </c>
      <c r="F78" s="35">
        <v>750000</v>
      </c>
      <c r="G78" s="11">
        <f>27000*5</f>
        <v>135000</v>
      </c>
      <c r="H78" s="11">
        <v>0</v>
      </c>
      <c r="I78" s="35">
        <v>0</v>
      </c>
      <c r="J78" s="36">
        <f t="shared" si="1"/>
        <v>885000</v>
      </c>
    </row>
    <row r="79" spans="1:10" ht="31.25">
      <c r="A79" s="32">
        <v>70</v>
      </c>
      <c r="B79" s="33" t="s">
        <v>220</v>
      </c>
      <c r="C79" s="34" t="s">
        <v>164</v>
      </c>
      <c r="D79" s="34" t="s">
        <v>221</v>
      </c>
      <c r="E79" s="34">
        <v>11</v>
      </c>
      <c r="F79" s="35">
        <v>2050000</v>
      </c>
      <c r="G79" s="11">
        <f>24500*11</f>
        <v>269500</v>
      </c>
      <c r="H79" s="11">
        <f>152320+143640</f>
        <v>295960</v>
      </c>
      <c r="I79" s="35">
        <v>0</v>
      </c>
      <c r="J79" s="36">
        <f t="shared" si="1"/>
        <v>2615460</v>
      </c>
    </row>
    <row r="80" spans="1:10" ht="31.25">
      <c r="A80" s="32">
        <v>71</v>
      </c>
      <c r="B80" s="34" t="s">
        <v>217</v>
      </c>
      <c r="C80" s="34" t="s">
        <v>222</v>
      </c>
      <c r="D80" s="34" t="s">
        <v>197</v>
      </c>
      <c r="E80" s="34">
        <v>5</v>
      </c>
      <c r="F80" s="35">
        <v>0</v>
      </c>
      <c r="G80" s="35">
        <f>27000*5</f>
        <v>135000</v>
      </c>
      <c r="H80" s="35">
        <v>308020</v>
      </c>
      <c r="I80" s="35">
        <v>0</v>
      </c>
      <c r="J80" s="36">
        <f t="shared" si="1"/>
        <v>443020</v>
      </c>
    </row>
    <row r="81" spans="1:10" ht="31.25">
      <c r="A81" s="32">
        <v>72</v>
      </c>
      <c r="B81" s="34" t="s">
        <v>195</v>
      </c>
      <c r="C81" s="34" t="s">
        <v>131</v>
      </c>
      <c r="D81" s="34" t="s">
        <v>197</v>
      </c>
      <c r="E81" s="34">
        <v>6</v>
      </c>
      <c r="F81" s="35">
        <v>1000000</v>
      </c>
      <c r="G81" s="35">
        <f>27000*6</f>
        <v>162000</v>
      </c>
      <c r="H81" s="35">
        <f>143500*2</f>
        <v>287000</v>
      </c>
      <c r="I81" s="35">
        <v>0</v>
      </c>
      <c r="J81" s="36">
        <f t="shared" si="1"/>
        <v>1449000</v>
      </c>
    </row>
    <row r="82" spans="1:10" ht="31.25">
      <c r="A82" s="32">
        <v>73</v>
      </c>
      <c r="B82" s="34" t="s">
        <v>195</v>
      </c>
      <c r="C82" s="34" t="s">
        <v>131</v>
      </c>
      <c r="D82" s="34" t="s">
        <v>197</v>
      </c>
      <c r="E82" s="34">
        <v>6</v>
      </c>
      <c r="F82" s="35">
        <v>1000000</v>
      </c>
      <c r="G82" s="35">
        <f>27000*6</f>
        <v>162000</v>
      </c>
      <c r="H82" s="35">
        <f>143500*2</f>
        <v>287000</v>
      </c>
      <c r="I82" s="35">
        <v>0</v>
      </c>
      <c r="J82" s="36">
        <f t="shared" si="1"/>
        <v>1449000</v>
      </c>
    </row>
    <row r="83" spans="1:10" ht="31.25">
      <c r="A83" s="32">
        <v>74</v>
      </c>
      <c r="B83" s="34" t="s">
        <v>195</v>
      </c>
      <c r="C83" s="34" t="s">
        <v>131</v>
      </c>
      <c r="D83" s="34" t="s">
        <v>197</v>
      </c>
      <c r="E83" s="34">
        <v>6</v>
      </c>
      <c r="F83" s="35">
        <v>800000</v>
      </c>
      <c r="G83" s="35">
        <f>27000*6</f>
        <v>162000</v>
      </c>
      <c r="H83" s="35">
        <f>143500*2</f>
        <v>287000</v>
      </c>
      <c r="I83" s="35">
        <v>0</v>
      </c>
      <c r="J83" s="36">
        <f t="shared" si="1"/>
        <v>1249000</v>
      </c>
    </row>
    <row r="84" spans="1:10" ht="31.25">
      <c r="A84" s="32">
        <v>75</v>
      </c>
      <c r="B84" s="34" t="s">
        <v>223</v>
      </c>
      <c r="C84" s="34" t="s">
        <v>155</v>
      </c>
      <c r="D84" s="34" t="s">
        <v>224</v>
      </c>
      <c r="E84" s="34">
        <v>5</v>
      </c>
      <c r="F84" s="35">
        <v>0</v>
      </c>
      <c r="G84" s="35">
        <f>24500*5</f>
        <v>122500</v>
      </c>
      <c r="H84" s="35">
        <f>195350*2</f>
        <v>390700</v>
      </c>
      <c r="I84" s="35">
        <v>0</v>
      </c>
      <c r="J84" s="36">
        <f t="shared" si="1"/>
        <v>513200</v>
      </c>
    </row>
    <row r="85" spans="1:10" ht="31.25">
      <c r="A85" s="32">
        <v>76</v>
      </c>
      <c r="B85" s="33" t="s">
        <v>225</v>
      </c>
      <c r="C85" s="34" t="s">
        <v>226</v>
      </c>
      <c r="D85" s="34" t="s">
        <v>227</v>
      </c>
      <c r="E85" s="34">
        <v>16</v>
      </c>
      <c r="F85" s="35">
        <f>300000+625000+150000</f>
        <v>1075000</v>
      </c>
      <c r="G85" s="11">
        <f>24500*16</f>
        <v>392000</v>
      </c>
      <c r="H85" s="11">
        <f>126000+108900+397000+302400+126000+144000+128000+170000</f>
        <v>1502300</v>
      </c>
      <c r="I85" s="35">
        <v>0</v>
      </c>
      <c r="J85" s="36">
        <f t="shared" si="1"/>
        <v>2969300</v>
      </c>
    </row>
    <row r="86" spans="1:10" ht="31.25">
      <c r="A86" s="32">
        <v>77</v>
      </c>
      <c r="B86" s="33" t="s">
        <v>225</v>
      </c>
      <c r="C86" s="34" t="s">
        <v>226</v>
      </c>
      <c r="D86" s="34" t="s">
        <v>227</v>
      </c>
      <c r="E86" s="34">
        <v>16</v>
      </c>
      <c r="F86" s="35">
        <f>800000+300000+625000+150000</f>
        <v>1875000</v>
      </c>
      <c r="G86" s="11">
        <f>24500*16</f>
        <v>392000</v>
      </c>
      <c r="H86" s="11">
        <f>324500+248000+294000+360000+124000+360000+90000</f>
        <v>1800500</v>
      </c>
      <c r="I86" s="35">
        <v>0</v>
      </c>
      <c r="J86" s="36">
        <f t="shared" si="1"/>
        <v>4067500</v>
      </c>
    </row>
    <row r="87" spans="1:10" ht="31.25">
      <c r="A87" s="32">
        <v>78</v>
      </c>
      <c r="B87" s="33" t="s">
        <v>228</v>
      </c>
      <c r="C87" s="34" t="s">
        <v>158</v>
      </c>
      <c r="D87" s="34" t="s">
        <v>229</v>
      </c>
      <c r="E87" s="34">
        <v>5</v>
      </c>
      <c r="F87" s="35">
        <f>540000+250000</f>
        <v>790000</v>
      </c>
      <c r="G87" s="11">
        <f>24500*5</f>
        <v>122500</v>
      </c>
      <c r="H87" s="11">
        <f>333000+220000+266000</f>
        <v>819000</v>
      </c>
      <c r="I87" s="35">
        <v>0</v>
      </c>
      <c r="J87" s="36">
        <f t="shared" si="1"/>
        <v>1731500</v>
      </c>
    </row>
    <row r="88" spans="1:10" ht="31.25">
      <c r="A88" s="32">
        <v>79</v>
      </c>
      <c r="B88" s="33" t="s">
        <v>230</v>
      </c>
      <c r="C88" s="34" t="s">
        <v>231</v>
      </c>
      <c r="D88" s="34" t="s">
        <v>232</v>
      </c>
      <c r="E88" s="34">
        <v>8</v>
      </c>
      <c r="F88" s="35">
        <f>540000+621000</f>
        <v>1161000</v>
      </c>
      <c r="G88" s="11">
        <f>24500*8</f>
        <v>196000</v>
      </c>
      <c r="H88" s="11">
        <f>405540+593084</f>
        <v>998624</v>
      </c>
      <c r="I88" s="35">
        <v>0</v>
      </c>
      <c r="J88" s="36">
        <f t="shared" si="1"/>
        <v>2355624</v>
      </c>
    </row>
    <row r="89" spans="1:10" ht="31.25">
      <c r="A89" s="32">
        <v>80</v>
      </c>
      <c r="B89" s="33" t="s">
        <v>230</v>
      </c>
      <c r="C89" s="34" t="s">
        <v>231</v>
      </c>
      <c r="D89" s="34" t="s">
        <v>232</v>
      </c>
      <c r="E89" s="34">
        <v>8</v>
      </c>
      <c r="F89" s="35">
        <f>540000+621000</f>
        <v>1161000</v>
      </c>
      <c r="G89" s="11">
        <f>24500*8</f>
        <v>196000</v>
      </c>
      <c r="H89" s="11">
        <f>405540+593084</f>
        <v>998624</v>
      </c>
      <c r="I89" s="35">
        <v>0</v>
      </c>
      <c r="J89" s="36">
        <f t="shared" si="1"/>
        <v>2355624</v>
      </c>
    </row>
    <row r="90" spans="1:10" ht="31.25">
      <c r="A90" s="32">
        <v>81</v>
      </c>
      <c r="B90" s="33" t="s">
        <v>233</v>
      </c>
      <c r="C90" s="34" t="s">
        <v>158</v>
      </c>
      <c r="D90" s="34" t="s">
        <v>234</v>
      </c>
      <c r="E90" s="34">
        <v>15</v>
      </c>
      <c r="F90" s="35">
        <f>1000000+1250000</f>
        <v>2250000</v>
      </c>
      <c r="G90" s="11">
        <f>24500*15</f>
        <v>367500</v>
      </c>
      <c r="H90" s="11">
        <f>257600+72000+112500+292500+110000+250000+94500+262500+187500+150000</f>
        <v>1789100</v>
      </c>
      <c r="I90" s="35">
        <v>0</v>
      </c>
      <c r="J90" s="36">
        <f t="shared" si="1"/>
        <v>4406600</v>
      </c>
    </row>
    <row r="91" spans="1:10" ht="46.9">
      <c r="A91" s="32">
        <v>82</v>
      </c>
      <c r="B91" s="33" t="s">
        <v>235</v>
      </c>
      <c r="C91" s="34" t="s">
        <v>222</v>
      </c>
      <c r="D91" s="34" t="s">
        <v>236</v>
      </c>
      <c r="E91" s="34">
        <v>19</v>
      </c>
      <c r="F91" s="35">
        <f>810000+2565000+540000</f>
        <v>3915000</v>
      </c>
      <c r="G91" s="11">
        <f>24500*19</f>
        <v>465500</v>
      </c>
      <c r="H91" s="11">
        <v>84420</v>
      </c>
      <c r="I91" s="35">
        <v>0</v>
      </c>
      <c r="J91" s="36">
        <f t="shared" si="1"/>
        <v>4464920</v>
      </c>
    </row>
    <row r="92" spans="1:10" ht="31.25">
      <c r="A92" s="32">
        <v>83</v>
      </c>
      <c r="B92" s="33" t="s">
        <v>237</v>
      </c>
      <c r="C92" s="34" t="s">
        <v>231</v>
      </c>
      <c r="D92" s="34" t="s">
        <v>238</v>
      </c>
      <c r="E92" s="34">
        <v>2</v>
      </c>
      <c r="F92" s="35">
        <v>270000</v>
      </c>
      <c r="G92" s="11">
        <f>24500*2</f>
        <v>49000</v>
      </c>
      <c r="H92" s="11">
        <v>0</v>
      </c>
      <c r="I92" s="35">
        <v>0</v>
      </c>
      <c r="J92" s="36">
        <f t="shared" si="1"/>
        <v>319000</v>
      </c>
    </row>
    <row r="93" spans="1:10" ht="31.25">
      <c r="A93" s="32">
        <v>84</v>
      </c>
      <c r="B93" s="33" t="s">
        <v>239</v>
      </c>
      <c r="C93" s="34" t="s">
        <v>240</v>
      </c>
      <c r="D93" s="34" t="s">
        <v>241</v>
      </c>
      <c r="E93" s="34">
        <v>3</v>
      </c>
      <c r="F93" s="35">
        <v>0</v>
      </c>
      <c r="G93" s="11">
        <f>24500*3</f>
        <v>73500</v>
      </c>
      <c r="H93" s="11">
        <v>0</v>
      </c>
      <c r="I93" s="35">
        <v>0</v>
      </c>
      <c r="J93" s="36">
        <f t="shared" si="1"/>
        <v>73500</v>
      </c>
    </row>
    <row r="94" spans="1:10" ht="31.25">
      <c r="A94" s="32">
        <v>85</v>
      </c>
      <c r="B94" s="33" t="s">
        <v>242</v>
      </c>
      <c r="C94" s="34" t="s">
        <v>243</v>
      </c>
      <c r="D94" s="34" t="s">
        <v>244</v>
      </c>
      <c r="E94" s="34">
        <v>3</v>
      </c>
      <c r="F94" s="35">
        <v>540980</v>
      </c>
      <c r="G94" s="11">
        <f>24500*3</f>
        <v>73500</v>
      </c>
      <c r="H94" s="11">
        <v>0</v>
      </c>
      <c r="I94" s="35">
        <v>0</v>
      </c>
      <c r="J94" s="36">
        <f t="shared" si="1"/>
        <v>614480</v>
      </c>
    </row>
    <row r="95" spans="1:10" ht="31.25">
      <c r="A95" s="32">
        <v>86</v>
      </c>
      <c r="B95" s="33" t="s">
        <v>242</v>
      </c>
      <c r="C95" s="34" t="s">
        <v>243</v>
      </c>
      <c r="D95" s="34" t="s">
        <v>244</v>
      </c>
      <c r="E95" s="34">
        <v>3</v>
      </c>
      <c r="F95" s="35">
        <v>540980</v>
      </c>
      <c r="G95" s="11">
        <f>24500*3</f>
        <v>73500</v>
      </c>
      <c r="H95" s="11">
        <v>0</v>
      </c>
      <c r="I95" s="35">
        <v>0</v>
      </c>
      <c r="J95" s="36">
        <f t="shared" si="1"/>
        <v>614480</v>
      </c>
    </row>
    <row r="96" spans="1:10" ht="31.25">
      <c r="A96" s="32">
        <v>87</v>
      </c>
      <c r="B96" s="33" t="s">
        <v>245</v>
      </c>
      <c r="C96" s="34" t="s">
        <v>246</v>
      </c>
      <c r="D96" s="34" t="s">
        <v>247</v>
      </c>
      <c r="E96" s="34">
        <v>2</v>
      </c>
      <c r="F96" s="35">
        <v>0</v>
      </c>
      <c r="G96" s="11">
        <v>49000</v>
      </c>
      <c r="H96" s="11">
        <v>0</v>
      </c>
      <c r="I96" s="35">
        <v>0</v>
      </c>
      <c r="J96" s="36">
        <f t="shared" si="1"/>
        <v>49000</v>
      </c>
    </row>
    <row r="97" spans="1:10" ht="46.9">
      <c r="A97" s="32">
        <v>88</v>
      </c>
      <c r="B97" s="33" t="s">
        <v>248</v>
      </c>
      <c r="C97" s="34" t="s">
        <v>249</v>
      </c>
      <c r="D97" s="34" t="s">
        <v>250</v>
      </c>
      <c r="E97" s="34">
        <v>3</v>
      </c>
      <c r="F97" s="35">
        <f>200000+1000000</f>
        <v>1200000</v>
      </c>
      <c r="G97" s="11">
        <f>24500*3</f>
        <v>73500</v>
      </c>
      <c r="H97" s="11">
        <v>476997</v>
      </c>
      <c r="I97" s="35">
        <v>0</v>
      </c>
      <c r="J97" s="36">
        <f t="shared" si="1"/>
        <v>1750497</v>
      </c>
    </row>
    <row r="98" spans="1:10" ht="31.25">
      <c r="A98" s="32">
        <v>89</v>
      </c>
      <c r="B98" s="33" t="s">
        <v>251</v>
      </c>
      <c r="C98" s="34" t="s">
        <v>252</v>
      </c>
      <c r="D98" s="34" t="s">
        <v>253</v>
      </c>
      <c r="E98" s="34">
        <v>9</v>
      </c>
      <c r="F98" s="35">
        <v>2160000</v>
      </c>
      <c r="G98" s="11">
        <f>24500*9</f>
        <v>220500</v>
      </c>
      <c r="H98" s="11">
        <v>250000</v>
      </c>
      <c r="I98" s="35">
        <v>0</v>
      </c>
      <c r="J98" s="36">
        <f t="shared" si="1"/>
        <v>2630500</v>
      </c>
    </row>
    <row r="99" spans="1:10" ht="31.25">
      <c r="A99" s="32">
        <v>90</v>
      </c>
      <c r="B99" s="33" t="s">
        <v>254</v>
      </c>
      <c r="C99" s="34" t="s">
        <v>255</v>
      </c>
      <c r="D99" s="34" t="s">
        <v>256</v>
      </c>
      <c r="E99" s="34">
        <v>4</v>
      </c>
      <c r="F99" s="35">
        <v>0</v>
      </c>
      <c r="G99" s="11">
        <f>24500*4</f>
        <v>98000</v>
      </c>
      <c r="H99" s="11">
        <f>250000+460000+430000+455000+452000</f>
        <v>2047000</v>
      </c>
      <c r="I99" s="35">
        <v>0</v>
      </c>
      <c r="J99" s="36">
        <f t="shared" si="1"/>
        <v>2145000</v>
      </c>
    </row>
    <row r="100" spans="1:10">
      <c r="A100" s="32">
        <v>91</v>
      </c>
      <c r="B100" s="33">
        <v>44419</v>
      </c>
      <c r="C100" s="34" t="s">
        <v>257</v>
      </c>
      <c r="D100" s="34" t="s">
        <v>258</v>
      </c>
      <c r="E100" s="34">
        <v>1</v>
      </c>
      <c r="F100" s="35">
        <v>0</v>
      </c>
      <c r="G100" s="11">
        <v>24500</v>
      </c>
      <c r="H100" s="11">
        <v>270000</v>
      </c>
      <c r="I100" s="35">
        <v>0</v>
      </c>
      <c r="J100" s="36">
        <f t="shared" si="1"/>
        <v>294500</v>
      </c>
    </row>
    <row r="101" spans="1:10">
      <c r="A101" s="32">
        <v>92</v>
      </c>
      <c r="B101" s="33">
        <v>44420</v>
      </c>
      <c r="C101" s="34" t="s">
        <v>107</v>
      </c>
      <c r="D101" s="34" t="s">
        <v>259</v>
      </c>
      <c r="E101" s="34">
        <v>1</v>
      </c>
      <c r="F101" s="35">
        <v>0</v>
      </c>
      <c r="G101" s="11">
        <v>24500</v>
      </c>
      <c r="H101" s="11">
        <f>148000+375000</f>
        <v>523000</v>
      </c>
      <c r="I101" s="35">
        <v>0</v>
      </c>
      <c r="J101" s="36">
        <f t="shared" si="1"/>
        <v>547500</v>
      </c>
    </row>
    <row r="102" spans="1:10" ht="31.25">
      <c r="A102" s="32">
        <v>93</v>
      </c>
      <c r="B102" s="33" t="s">
        <v>260</v>
      </c>
      <c r="C102" s="34" t="s">
        <v>131</v>
      </c>
      <c r="D102" s="34" t="s">
        <v>261</v>
      </c>
      <c r="E102" s="34">
        <v>1</v>
      </c>
      <c r="F102" s="35">
        <v>250000</v>
      </c>
      <c r="G102" s="11">
        <v>49000</v>
      </c>
      <c r="H102" s="11">
        <f>339750+450000</f>
        <v>789750</v>
      </c>
      <c r="I102" s="35">
        <v>0</v>
      </c>
      <c r="J102" s="36">
        <f t="shared" si="1"/>
        <v>1088750</v>
      </c>
    </row>
    <row r="103" spans="1:10" ht="31.25">
      <c r="A103" s="32">
        <v>94</v>
      </c>
      <c r="B103" s="33" t="s">
        <v>260</v>
      </c>
      <c r="C103" s="34" t="s">
        <v>131</v>
      </c>
      <c r="D103" s="34" t="s">
        <v>262</v>
      </c>
      <c r="E103" s="34">
        <v>1</v>
      </c>
      <c r="F103" s="35">
        <v>300000</v>
      </c>
      <c r="G103" s="11">
        <v>49000</v>
      </c>
      <c r="H103" s="11">
        <v>0</v>
      </c>
      <c r="I103" s="35">
        <v>0</v>
      </c>
      <c r="J103" s="36">
        <f t="shared" si="1"/>
        <v>349000</v>
      </c>
    </row>
    <row r="104" spans="1:10" ht="31.25">
      <c r="A104" s="32">
        <v>95</v>
      </c>
      <c r="B104" s="33" t="s">
        <v>263</v>
      </c>
      <c r="C104" s="34" t="s">
        <v>264</v>
      </c>
      <c r="D104" s="34" t="s">
        <v>265</v>
      </c>
      <c r="E104" s="34">
        <v>2</v>
      </c>
      <c r="F104" s="35">
        <v>700000</v>
      </c>
      <c r="G104" s="11">
        <f>24500*2</f>
        <v>49000</v>
      </c>
      <c r="H104" s="11">
        <f>208000+103150+71880+76340</f>
        <v>459370</v>
      </c>
      <c r="I104" s="35">
        <v>0</v>
      </c>
      <c r="J104" s="36">
        <f t="shared" si="1"/>
        <v>1208370</v>
      </c>
    </row>
    <row r="105" spans="1:10" ht="31.25">
      <c r="A105" s="32">
        <v>96</v>
      </c>
      <c r="B105" s="33" t="s">
        <v>266</v>
      </c>
      <c r="C105" s="34" t="s">
        <v>246</v>
      </c>
      <c r="D105" s="34" t="s">
        <v>267</v>
      </c>
      <c r="E105" s="34">
        <v>6</v>
      </c>
      <c r="F105" s="11">
        <f>600000+200000</f>
        <v>800000</v>
      </c>
      <c r="G105" s="11">
        <f>24500*6</f>
        <v>147000</v>
      </c>
      <c r="H105" s="11">
        <v>162903</v>
      </c>
      <c r="I105" s="35">
        <v>0</v>
      </c>
      <c r="J105" s="36">
        <f t="shared" si="1"/>
        <v>1109903</v>
      </c>
    </row>
    <row r="106" spans="1:10" ht="31.25">
      <c r="A106" s="32">
        <v>97</v>
      </c>
      <c r="B106" s="33" t="s">
        <v>268</v>
      </c>
      <c r="C106" s="34" t="s">
        <v>269</v>
      </c>
      <c r="D106" s="34" t="s">
        <v>270</v>
      </c>
      <c r="E106" s="34">
        <v>2</v>
      </c>
      <c r="F106" s="11">
        <v>160000</v>
      </c>
      <c r="G106" s="11">
        <f>24500*2</f>
        <v>49000</v>
      </c>
      <c r="H106" s="11">
        <f>124000+200000</f>
        <v>324000</v>
      </c>
      <c r="I106" s="35">
        <v>0</v>
      </c>
      <c r="J106" s="36">
        <f t="shared" si="1"/>
        <v>533000</v>
      </c>
    </row>
    <row r="107" spans="1:10" ht="31.25">
      <c r="A107" s="32">
        <v>98</v>
      </c>
      <c r="B107" s="33" t="s">
        <v>271</v>
      </c>
      <c r="C107" s="34" t="s">
        <v>164</v>
      </c>
      <c r="D107" s="34" t="s">
        <v>234</v>
      </c>
      <c r="E107" s="34">
        <v>12</v>
      </c>
      <c r="F107" s="35">
        <v>2250000</v>
      </c>
      <c r="G107" s="11">
        <f>24500*12</f>
        <v>294000</v>
      </c>
      <c r="H107" s="11">
        <f>216000+292500+273000+292500+232500+144000+187500+225000+287000+150000</f>
        <v>2300000</v>
      </c>
      <c r="I107" s="35">
        <v>0</v>
      </c>
      <c r="J107" s="36">
        <f t="shared" si="1"/>
        <v>4844000</v>
      </c>
    </row>
    <row r="108" spans="1:10" ht="31.25">
      <c r="A108" s="32">
        <v>99</v>
      </c>
      <c r="B108" s="33" t="s">
        <v>272</v>
      </c>
      <c r="C108" s="34" t="s">
        <v>179</v>
      </c>
      <c r="D108" s="34" t="s">
        <v>273</v>
      </c>
      <c r="E108" s="34">
        <v>3</v>
      </c>
      <c r="F108" s="35">
        <v>224000</v>
      </c>
      <c r="G108" s="11">
        <f>24500*3</f>
        <v>73500</v>
      </c>
      <c r="H108" s="11">
        <v>0</v>
      </c>
      <c r="I108" s="35">
        <v>0</v>
      </c>
      <c r="J108" s="36">
        <f t="shared" si="1"/>
        <v>297500</v>
      </c>
    </row>
    <row r="109" spans="1:10" ht="31.25">
      <c r="A109" s="32">
        <v>100</v>
      </c>
      <c r="B109" s="33" t="s">
        <v>274</v>
      </c>
      <c r="C109" s="34" t="s">
        <v>231</v>
      </c>
      <c r="D109" s="34" t="s">
        <v>275</v>
      </c>
      <c r="E109" s="34">
        <v>2</v>
      </c>
      <c r="F109" s="35">
        <v>270000</v>
      </c>
      <c r="G109" s="11">
        <f>24500*2</f>
        <v>49000</v>
      </c>
      <c r="H109" s="11">
        <v>592766</v>
      </c>
      <c r="I109" s="35">
        <v>0</v>
      </c>
      <c r="J109" s="36">
        <f t="shared" si="1"/>
        <v>911766</v>
      </c>
    </row>
    <row r="110" spans="1:10" ht="31.25">
      <c r="A110" s="32">
        <v>101</v>
      </c>
      <c r="B110" s="33" t="s">
        <v>276</v>
      </c>
      <c r="C110" s="34" t="s">
        <v>246</v>
      </c>
      <c r="D110" s="34" t="s">
        <v>277</v>
      </c>
      <c r="E110" s="34">
        <v>3</v>
      </c>
      <c r="F110" s="35">
        <v>0</v>
      </c>
      <c r="G110" s="11">
        <f>24500*3</f>
        <v>73500</v>
      </c>
      <c r="H110" s="11">
        <v>440000</v>
      </c>
      <c r="I110" s="35">
        <v>0</v>
      </c>
      <c r="J110" s="36">
        <f t="shared" si="1"/>
        <v>513500</v>
      </c>
    </row>
    <row r="111" spans="1:10" ht="31.25">
      <c r="A111" s="32">
        <v>102</v>
      </c>
      <c r="B111" s="33" t="s">
        <v>278</v>
      </c>
      <c r="C111" s="34" t="s">
        <v>279</v>
      </c>
      <c r="D111" s="34" t="s">
        <v>262</v>
      </c>
      <c r="E111" s="34">
        <v>2</v>
      </c>
      <c r="F111" s="35">
        <v>200000</v>
      </c>
      <c r="G111" s="11">
        <f>22300*2</f>
        <v>44600</v>
      </c>
      <c r="H111" s="11">
        <f>149530+143500</f>
        <v>293030</v>
      </c>
      <c r="I111" s="35">
        <v>0</v>
      </c>
      <c r="J111" s="36">
        <f t="shared" si="1"/>
        <v>537630</v>
      </c>
    </row>
    <row r="112" spans="1:10" ht="31.25">
      <c r="A112" s="32">
        <v>103</v>
      </c>
      <c r="B112" s="33" t="s">
        <v>280</v>
      </c>
      <c r="C112" s="34" t="s">
        <v>147</v>
      </c>
      <c r="D112" s="34" t="s">
        <v>270</v>
      </c>
      <c r="E112" s="34">
        <v>2</v>
      </c>
      <c r="F112" s="35">
        <v>158000</v>
      </c>
      <c r="G112" s="11">
        <f>24500*2</f>
        <v>49000</v>
      </c>
      <c r="H112" s="11">
        <f>240000+208000</f>
        <v>448000</v>
      </c>
      <c r="I112" s="35">
        <v>0</v>
      </c>
      <c r="J112" s="36">
        <f t="shared" si="1"/>
        <v>655000</v>
      </c>
    </row>
    <row r="113" spans="1:10" ht="31.25">
      <c r="A113" s="32">
        <v>104</v>
      </c>
      <c r="B113" s="33" t="s">
        <v>281</v>
      </c>
      <c r="C113" s="34" t="s">
        <v>282</v>
      </c>
      <c r="D113" s="34" t="s">
        <v>283</v>
      </c>
      <c r="E113" s="34">
        <v>7</v>
      </c>
      <c r="F113" s="11">
        <f>400000+150000</f>
        <v>550000</v>
      </c>
      <c r="G113" s="11">
        <f>24500*7</f>
        <v>171500</v>
      </c>
      <c r="H113" s="11">
        <f>385000+298600+350000+192000</f>
        <v>1225600</v>
      </c>
      <c r="I113" s="35">
        <v>0</v>
      </c>
      <c r="J113" s="36">
        <f t="shared" si="1"/>
        <v>1947100</v>
      </c>
    </row>
    <row r="114" spans="1:10">
      <c r="A114" s="32">
        <v>105</v>
      </c>
      <c r="B114" s="33">
        <v>44413</v>
      </c>
      <c r="C114" s="34" t="s">
        <v>107</v>
      </c>
      <c r="D114" s="34" t="s">
        <v>283</v>
      </c>
      <c r="E114" s="34">
        <v>1</v>
      </c>
      <c r="F114" s="35">
        <v>0</v>
      </c>
      <c r="G114" s="11">
        <v>24500</v>
      </c>
      <c r="H114" s="11">
        <f>100000+300000</f>
        <v>400000</v>
      </c>
      <c r="I114" s="35">
        <v>0</v>
      </c>
      <c r="J114" s="36">
        <f t="shared" si="1"/>
        <v>424500</v>
      </c>
    </row>
    <row r="115" spans="1:10" ht="31.25">
      <c r="A115" s="32">
        <v>106</v>
      </c>
      <c r="B115" s="33" t="s">
        <v>281</v>
      </c>
      <c r="C115" s="34" t="s">
        <v>282</v>
      </c>
      <c r="D115" s="34" t="s">
        <v>283</v>
      </c>
      <c r="E115" s="34">
        <v>7</v>
      </c>
      <c r="F115" s="11">
        <f>400000+150000</f>
        <v>550000</v>
      </c>
      <c r="G115" s="11">
        <f>24500*7</f>
        <v>171500</v>
      </c>
      <c r="H115" s="11">
        <v>0</v>
      </c>
      <c r="I115" s="35">
        <v>0</v>
      </c>
      <c r="J115" s="36">
        <f t="shared" si="1"/>
        <v>721500</v>
      </c>
    </row>
    <row r="116" spans="1:10" ht="31.25">
      <c r="A116" s="32">
        <v>107</v>
      </c>
      <c r="B116" s="33" t="s">
        <v>284</v>
      </c>
      <c r="C116" s="34" t="s">
        <v>246</v>
      </c>
      <c r="D116" s="34" t="s">
        <v>285</v>
      </c>
      <c r="E116" s="34">
        <v>2</v>
      </c>
      <c r="F116" s="35">
        <v>0</v>
      </c>
      <c r="G116" s="11">
        <f>24500*3</f>
        <v>73500</v>
      </c>
      <c r="H116" s="11">
        <v>0</v>
      </c>
      <c r="I116" s="35">
        <v>0</v>
      </c>
      <c r="J116" s="36">
        <f t="shared" si="1"/>
        <v>73500</v>
      </c>
    </row>
    <row r="117" spans="1:10" ht="31.25">
      <c r="A117" s="32">
        <v>108</v>
      </c>
      <c r="B117" s="33" t="s">
        <v>286</v>
      </c>
      <c r="C117" s="34" t="s">
        <v>158</v>
      </c>
      <c r="D117" s="34" t="s">
        <v>287</v>
      </c>
      <c r="E117" s="34">
        <v>6</v>
      </c>
      <c r="F117" s="35">
        <v>750000</v>
      </c>
      <c r="G117" s="11">
        <f>24500*6</f>
        <v>147000</v>
      </c>
      <c r="H117" s="11">
        <f>180000+260800+417600+318000+183000</f>
        <v>1359400</v>
      </c>
      <c r="I117" s="35">
        <v>0</v>
      </c>
      <c r="J117" s="36">
        <f t="shared" si="1"/>
        <v>2256400</v>
      </c>
    </row>
    <row r="118" spans="1:10" ht="31.25">
      <c r="A118" s="32">
        <v>109</v>
      </c>
      <c r="B118" s="33" t="s">
        <v>288</v>
      </c>
      <c r="C118" s="34" t="s">
        <v>90</v>
      </c>
      <c r="D118" s="34" t="s">
        <v>289</v>
      </c>
      <c r="E118" s="34">
        <v>6</v>
      </c>
      <c r="F118" s="35">
        <f>240000+360000</f>
        <v>600000</v>
      </c>
      <c r="G118" s="11">
        <f>24500*6</f>
        <v>147000</v>
      </c>
      <c r="H118" s="11">
        <f>122750</f>
        <v>122750</v>
      </c>
      <c r="I118" s="35">
        <v>0</v>
      </c>
      <c r="J118" s="36">
        <f t="shared" si="1"/>
        <v>869750</v>
      </c>
    </row>
    <row r="119" spans="1:10" ht="31.25">
      <c r="A119" s="32">
        <v>110</v>
      </c>
      <c r="B119" s="33" t="s">
        <v>286</v>
      </c>
      <c r="C119" s="34" t="s">
        <v>158</v>
      </c>
      <c r="D119" s="34" t="s">
        <v>287</v>
      </c>
      <c r="E119" s="34">
        <v>6</v>
      </c>
      <c r="F119" s="35">
        <v>750000</v>
      </c>
      <c r="G119" s="11">
        <f>24500*6</f>
        <v>147000</v>
      </c>
      <c r="H119" s="11">
        <f>180000+177000</f>
        <v>357000</v>
      </c>
      <c r="I119" s="35">
        <v>0</v>
      </c>
      <c r="J119" s="36">
        <f t="shared" si="1"/>
        <v>1254000</v>
      </c>
    </row>
    <row r="120" spans="1:10" ht="31.25">
      <c r="A120" s="32">
        <v>111</v>
      </c>
      <c r="B120" s="33" t="s">
        <v>290</v>
      </c>
      <c r="C120" s="34" t="s">
        <v>158</v>
      </c>
      <c r="D120" s="34" t="s">
        <v>287</v>
      </c>
      <c r="E120" s="34">
        <v>5</v>
      </c>
      <c r="F120" s="35">
        <v>750000</v>
      </c>
      <c r="G120" s="11">
        <f>24500*5</f>
        <v>122500</v>
      </c>
      <c r="H120" s="11">
        <v>0</v>
      </c>
      <c r="I120" s="35">
        <v>0</v>
      </c>
      <c r="J120" s="36">
        <f t="shared" si="1"/>
        <v>872500</v>
      </c>
    </row>
    <row r="121" spans="1:10" ht="31.25">
      <c r="A121" s="32">
        <v>112</v>
      </c>
      <c r="B121" s="33" t="s">
        <v>291</v>
      </c>
      <c r="C121" s="34" t="s">
        <v>81</v>
      </c>
      <c r="D121" s="34" t="s">
        <v>292</v>
      </c>
      <c r="E121" s="34">
        <v>3</v>
      </c>
      <c r="F121" s="35">
        <v>400000</v>
      </c>
      <c r="G121" s="11">
        <f>24500*3</f>
        <v>73500</v>
      </c>
      <c r="H121" s="11">
        <f>143060+143060</f>
        <v>286120</v>
      </c>
      <c r="I121" s="35">
        <v>0</v>
      </c>
      <c r="J121" s="36">
        <f t="shared" si="1"/>
        <v>759620</v>
      </c>
    </row>
    <row r="122" spans="1:10" ht="31.25">
      <c r="A122" s="32">
        <v>113</v>
      </c>
      <c r="B122" s="33" t="s">
        <v>293</v>
      </c>
      <c r="C122" s="34" t="s">
        <v>294</v>
      </c>
      <c r="D122" s="34" t="s">
        <v>292</v>
      </c>
      <c r="E122" s="34">
        <v>4</v>
      </c>
      <c r="F122" s="35">
        <f>270000+440000</f>
        <v>710000</v>
      </c>
      <c r="G122" s="11">
        <f>24500*4</f>
        <v>98000</v>
      </c>
      <c r="H122" s="11">
        <v>0</v>
      </c>
      <c r="I122" s="35">
        <v>0</v>
      </c>
      <c r="J122" s="36">
        <f t="shared" si="1"/>
        <v>808000</v>
      </c>
    </row>
    <row r="123" spans="1:10" ht="31.25">
      <c r="A123" s="32">
        <v>114</v>
      </c>
      <c r="B123" s="33" t="s">
        <v>295</v>
      </c>
      <c r="C123" s="34" t="s">
        <v>296</v>
      </c>
      <c r="D123" s="34" t="s">
        <v>297</v>
      </c>
      <c r="E123" s="34">
        <v>2</v>
      </c>
      <c r="F123" s="35">
        <f>217000+200000</f>
        <v>417000</v>
      </c>
      <c r="G123" s="11">
        <f>22300*2</f>
        <v>44600</v>
      </c>
      <c r="H123" s="11">
        <v>0</v>
      </c>
      <c r="I123" s="35">
        <v>0</v>
      </c>
      <c r="J123" s="36">
        <f t="shared" si="1"/>
        <v>461600</v>
      </c>
    </row>
    <row r="124" spans="1:10" ht="31.25">
      <c r="A124" s="32">
        <v>115</v>
      </c>
      <c r="B124" s="33" t="s">
        <v>298</v>
      </c>
      <c r="C124" s="34" t="s">
        <v>231</v>
      </c>
      <c r="D124" s="34" t="s">
        <v>299</v>
      </c>
      <c r="E124" s="34">
        <v>2</v>
      </c>
      <c r="F124" s="35">
        <v>0</v>
      </c>
      <c r="G124" s="11">
        <f t="shared" ref="G124:G125" si="2">24500*2</f>
        <v>49000</v>
      </c>
      <c r="H124" s="11">
        <v>0</v>
      </c>
      <c r="I124" s="35">
        <v>0</v>
      </c>
      <c r="J124" s="36">
        <f t="shared" si="1"/>
        <v>49000</v>
      </c>
    </row>
    <row r="125" spans="1:10" ht="31.25">
      <c r="A125" s="32">
        <v>116</v>
      </c>
      <c r="B125" s="33" t="s">
        <v>298</v>
      </c>
      <c r="C125" s="34" t="s">
        <v>231</v>
      </c>
      <c r="D125" s="34" t="s">
        <v>299</v>
      </c>
      <c r="E125" s="34">
        <v>2</v>
      </c>
      <c r="F125" s="35">
        <v>0</v>
      </c>
      <c r="G125" s="11">
        <f t="shared" si="2"/>
        <v>49000</v>
      </c>
      <c r="H125" s="11">
        <v>0</v>
      </c>
      <c r="I125" s="35">
        <v>0</v>
      </c>
      <c r="J125" s="36">
        <f t="shared" si="1"/>
        <v>49000</v>
      </c>
    </row>
    <row r="126" spans="1:10" ht="31.25">
      <c r="A126" s="32">
        <v>117</v>
      </c>
      <c r="B126" s="33" t="s">
        <v>300</v>
      </c>
      <c r="C126" s="34" t="s">
        <v>131</v>
      </c>
      <c r="D126" s="34" t="s">
        <v>301</v>
      </c>
      <c r="E126" s="34">
        <v>4</v>
      </c>
      <c r="F126" s="35">
        <v>200000</v>
      </c>
      <c r="G126" s="11">
        <f>24500*4</f>
        <v>98000</v>
      </c>
      <c r="H126" s="11">
        <f>271000+245000+232000+168000+144000</f>
        <v>1060000</v>
      </c>
      <c r="I126" s="35">
        <v>0</v>
      </c>
      <c r="J126" s="36">
        <f t="shared" si="1"/>
        <v>1358000</v>
      </c>
    </row>
    <row r="127" spans="1:10" ht="31.25">
      <c r="A127" s="32">
        <v>118</v>
      </c>
      <c r="B127" s="33" t="s">
        <v>302</v>
      </c>
      <c r="C127" s="34" t="s">
        <v>257</v>
      </c>
      <c r="D127" s="34" t="s">
        <v>303</v>
      </c>
      <c r="E127" s="34">
        <v>1</v>
      </c>
      <c r="F127" s="35">
        <v>0</v>
      </c>
      <c r="G127" s="11">
        <v>24500</v>
      </c>
      <c r="H127" s="11">
        <v>146000</v>
      </c>
      <c r="I127" s="35">
        <v>0</v>
      </c>
      <c r="J127" s="36">
        <f t="shared" si="1"/>
        <v>170500</v>
      </c>
    </row>
    <row r="128" spans="1:10" ht="31.25">
      <c r="A128" s="32">
        <v>119</v>
      </c>
      <c r="B128" s="33" t="s">
        <v>304</v>
      </c>
      <c r="C128" s="34" t="s">
        <v>257</v>
      </c>
      <c r="D128" s="34" t="s">
        <v>305</v>
      </c>
      <c r="E128" s="34">
        <v>1</v>
      </c>
      <c r="F128" s="35">
        <v>0</v>
      </c>
      <c r="G128" s="11">
        <v>24500</v>
      </c>
      <c r="H128" s="11">
        <v>272000</v>
      </c>
      <c r="I128" s="35">
        <v>0</v>
      </c>
      <c r="J128" s="36">
        <f t="shared" si="1"/>
        <v>296500</v>
      </c>
    </row>
    <row r="129" spans="1:10" ht="31.25">
      <c r="A129" s="32">
        <v>120</v>
      </c>
      <c r="B129" s="33" t="s">
        <v>306</v>
      </c>
      <c r="C129" s="34" t="s">
        <v>179</v>
      </c>
      <c r="D129" s="34" t="s">
        <v>307</v>
      </c>
      <c r="E129" s="34">
        <v>10</v>
      </c>
      <c r="F129" s="35">
        <f>240000+720000</f>
        <v>960000</v>
      </c>
      <c r="G129" s="11">
        <f>24500*10</f>
        <v>245000</v>
      </c>
      <c r="H129" s="35">
        <f>122750+122750</f>
        <v>245500</v>
      </c>
      <c r="I129" s="35">
        <v>0</v>
      </c>
      <c r="J129" s="36">
        <f t="shared" si="1"/>
        <v>1450500</v>
      </c>
    </row>
    <row r="130" spans="1:10" ht="31.25">
      <c r="A130" s="32">
        <v>121</v>
      </c>
      <c r="B130" s="33" t="s">
        <v>306</v>
      </c>
      <c r="C130" s="34" t="s">
        <v>179</v>
      </c>
      <c r="D130" s="34" t="s">
        <v>307</v>
      </c>
      <c r="E130" s="34">
        <v>10</v>
      </c>
      <c r="F130" s="35">
        <f>240000+720000</f>
        <v>960000</v>
      </c>
      <c r="G130" s="11">
        <f>24500*10</f>
        <v>245000</v>
      </c>
      <c r="H130" s="11">
        <f>122750+122750</f>
        <v>245500</v>
      </c>
      <c r="I130" s="35">
        <v>0</v>
      </c>
      <c r="J130" s="36">
        <f t="shared" si="1"/>
        <v>1450500</v>
      </c>
    </row>
    <row r="131" spans="1:10" ht="46.9">
      <c r="A131" s="32">
        <v>122</v>
      </c>
      <c r="B131" s="33" t="s">
        <v>308</v>
      </c>
      <c r="C131" s="34" t="s">
        <v>309</v>
      </c>
      <c r="D131" s="34" t="s">
        <v>310</v>
      </c>
      <c r="E131" s="34">
        <v>14</v>
      </c>
      <c r="F131" s="35">
        <f>880000+420000+540000+300000</f>
        <v>2140000</v>
      </c>
      <c r="G131" s="11">
        <f>24500*14</f>
        <v>343000</v>
      </c>
      <c r="H131" s="11">
        <f>125000+118000+70000+78000</f>
        <v>391000</v>
      </c>
      <c r="I131" s="35">
        <v>0</v>
      </c>
      <c r="J131" s="36">
        <f t="shared" si="1"/>
        <v>2874000</v>
      </c>
    </row>
    <row r="132" spans="1:10" ht="31.25">
      <c r="A132" s="32">
        <v>123</v>
      </c>
      <c r="B132" s="33" t="s">
        <v>589</v>
      </c>
      <c r="C132" s="34" t="s">
        <v>311</v>
      </c>
      <c r="D132" s="34" t="s">
        <v>312</v>
      </c>
      <c r="E132" s="34">
        <v>5</v>
      </c>
      <c r="F132" s="35">
        <v>1000000</v>
      </c>
      <c r="G132" s="11">
        <f>24500*5</f>
        <v>122500</v>
      </c>
      <c r="H132" s="11">
        <v>238140</v>
      </c>
      <c r="I132" s="35">
        <v>0</v>
      </c>
      <c r="J132" s="36">
        <f t="shared" si="1"/>
        <v>1360640</v>
      </c>
    </row>
    <row r="133" spans="1:10" ht="31.25">
      <c r="A133" s="32">
        <v>124</v>
      </c>
      <c r="B133" s="33" t="s">
        <v>590</v>
      </c>
      <c r="C133" s="34" t="s">
        <v>104</v>
      </c>
      <c r="D133" s="34" t="s">
        <v>313</v>
      </c>
      <c r="E133" s="34">
        <v>5</v>
      </c>
      <c r="F133" s="35">
        <v>0</v>
      </c>
      <c r="G133" s="11">
        <f>24500*5</f>
        <v>122500</v>
      </c>
      <c r="H133" s="11">
        <v>258000</v>
      </c>
      <c r="I133" s="35">
        <v>0</v>
      </c>
      <c r="J133" s="36">
        <f t="shared" si="1"/>
        <v>380500</v>
      </c>
    </row>
    <row r="134" spans="1:10" ht="31.25">
      <c r="A134" s="32">
        <v>125</v>
      </c>
      <c r="B134" s="33" t="s">
        <v>590</v>
      </c>
      <c r="C134" s="34" t="s">
        <v>104</v>
      </c>
      <c r="D134" s="34" t="s">
        <v>313</v>
      </c>
      <c r="E134" s="34">
        <v>5</v>
      </c>
      <c r="F134" s="35">
        <v>0</v>
      </c>
      <c r="G134" s="11">
        <f>24500*5</f>
        <v>122500</v>
      </c>
      <c r="H134" s="11">
        <v>0</v>
      </c>
      <c r="I134" s="35">
        <v>0</v>
      </c>
      <c r="J134" s="36">
        <f t="shared" si="1"/>
        <v>122500</v>
      </c>
    </row>
    <row r="135" spans="1:10" ht="93.75">
      <c r="A135" s="32">
        <v>126</v>
      </c>
      <c r="B135" s="33" t="s">
        <v>591</v>
      </c>
      <c r="C135" s="34" t="s">
        <v>314</v>
      </c>
      <c r="D135" s="34" t="s">
        <v>315</v>
      </c>
      <c r="E135" s="34">
        <v>14</v>
      </c>
      <c r="F135" s="35">
        <v>0</v>
      </c>
      <c r="G135" s="11">
        <f>24500*14</f>
        <v>343000</v>
      </c>
      <c r="H135" s="11">
        <v>469000</v>
      </c>
      <c r="I135" s="35">
        <v>0</v>
      </c>
      <c r="J135" s="36">
        <f t="shared" si="1"/>
        <v>812000</v>
      </c>
    </row>
    <row r="136" spans="1:10" ht="31.25">
      <c r="A136" s="32">
        <v>127</v>
      </c>
      <c r="B136" s="33" t="s">
        <v>592</v>
      </c>
      <c r="C136" s="34" t="s">
        <v>311</v>
      </c>
      <c r="D136" s="34" t="s">
        <v>316</v>
      </c>
      <c r="E136" s="34">
        <v>3</v>
      </c>
      <c r="F136" s="35">
        <v>200000</v>
      </c>
      <c r="G136" s="11">
        <f>24500*3</f>
        <v>73500</v>
      </c>
      <c r="H136" s="11">
        <f>89000+120000</f>
        <v>209000</v>
      </c>
      <c r="I136" s="35">
        <v>0</v>
      </c>
      <c r="J136" s="36">
        <f t="shared" si="1"/>
        <v>482500</v>
      </c>
    </row>
    <row r="137" spans="1:10" ht="31.25">
      <c r="A137" s="32">
        <v>128</v>
      </c>
      <c r="B137" s="33" t="s">
        <v>593</v>
      </c>
      <c r="C137" s="34" t="s">
        <v>311</v>
      </c>
      <c r="D137" s="34" t="s">
        <v>317</v>
      </c>
      <c r="E137" s="34">
        <v>5</v>
      </c>
      <c r="F137" s="35">
        <v>200000</v>
      </c>
      <c r="G137" s="11">
        <f>24500*5</f>
        <v>122500</v>
      </c>
      <c r="H137" s="11">
        <v>0</v>
      </c>
      <c r="I137" s="35">
        <v>0</v>
      </c>
      <c r="J137" s="36">
        <f t="shared" si="1"/>
        <v>322500</v>
      </c>
    </row>
    <row r="138" spans="1:10" ht="31.25">
      <c r="A138" s="32">
        <v>129</v>
      </c>
      <c r="B138" s="33" t="s">
        <v>594</v>
      </c>
      <c r="C138" s="34" t="s">
        <v>117</v>
      </c>
      <c r="D138" s="34" t="s">
        <v>318</v>
      </c>
      <c r="E138" s="34">
        <v>5</v>
      </c>
      <c r="F138" s="35">
        <v>0</v>
      </c>
      <c r="G138" s="11">
        <f>24500*5</f>
        <v>122500</v>
      </c>
      <c r="H138" s="11">
        <f>221000+198000</f>
        <v>419000</v>
      </c>
      <c r="I138" s="35">
        <v>0</v>
      </c>
      <c r="J138" s="36">
        <f t="shared" ref="J138:J201" si="3">+F138+G138+H138+I138</f>
        <v>541500</v>
      </c>
    </row>
    <row r="139" spans="1:10" ht="31.25">
      <c r="A139" s="32">
        <v>130</v>
      </c>
      <c r="B139" s="33" t="s">
        <v>595</v>
      </c>
      <c r="C139" s="34" t="s">
        <v>164</v>
      </c>
      <c r="D139" s="34" t="s">
        <v>319</v>
      </c>
      <c r="E139" s="34">
        <v>10</v>
      </c>
      <c r="F139" s="35">
        <f>190000+1750000</f>
        <v>1940000</v>
      </c>
      <c r="G139" s="11">
        <f>24500*10</f>
        <v>245000</v>
      </c>
      <c r="H139" s="11">
        <f>193000+106000+192000+256000+256000+200000</f>
        <v>1203000</v>
      </c>
      <c r="I139" s="35">
        <v>0</v>
      </c>
      <c r="J139" s="36">
        <f t="shared" si="3"/>
        <v>3388000</v>
      </c>
    </row>
    <row r="140" spans="1:10" ht="31.25">
      <c r="A140" s="32">
        <v>131</v>
      </c>
      <c r="B140" s="33" t="s">
        <v>593</v>
      </c>
      <c r="C140" s="34" t="s">
        <v>311</v>
      </c>
      <c r="D140" s="34" t="s">
        <v>317</v>
      </c>
      <c r="E140" s="34">
        <v>5</v>
      </c>
      <c r="F140" s="35">
        <v>200000</v>
      </c>
      <c r="G140" s="11">
        <f>24500*5</f>
        <v>122500</v>
      </c>
      <c r="H140" s="11">
        <f>280000+122000+300000+300000+392000</f>
        <v>1394000</v>
      </c>
      <c r="I140" s="35">
        <v>0</v>
      </c>
      <c r="J140" s="36">
        <f t="shared" si="3"/>
        <v>1716500</v>
      </c>
    </row>
    <row r="141" spans="1:10" ht="31.25">
      <c r="A141" s="32">
        <v>132</v>
      </c>
      <c r="B141" s="33" t="s">
        <v>596</v>
      </c>
      <c r="C141" s="34" t="s">
        <v>320</v>
      </c>
      <c r="D141" s="34" t="s">
        <v>321</v>
      </c>
      <c r="E141" s="34">
        <v>4</v>
      </c>
      <c r="F141" s="35">
        <f>500000+250000</f>
        <v>750000</v>
      </c>
      <c r="G141" s="11">
        <f>24500*4</f>
        <v>98000</v>
      </c>
      <c r="H141" s="11">
        <v>0</v>
      </c>
      <c r="I141" s="35">
        <v>0</v>
      </c>
      <c r="J141" s="36">
        <f t="shared" si="3"/>
        <v>848000</v>
      </c>
    </row>
    <row r="142" spans="1:10" ht="31.25">
      <c r="A142" s="32">
        <v>133</v>
      </c>
      <c r="B142" s="33" t="s">
        <v>596</v>
      </c>
      <c r="C142" s="34" t="s">
        <v>320</v>
      </c>
      <c r="D142" s="34" t="s">
        <v>321</v>
      </c>
      <c r="E142" s="34">
        <v>4</v>
      </c>
      <c r="F142" s="35">
        <f>500000+250000</f>
        <v>750000</v>
      </c>
      <c r="G142" s="11">
        <f>24500*4</f>
        <v>98000</v>
      </c>
      <c r="H142" s="11">
        <f>278400+220000+275000+148500+244000+85500</f>
        <v>1251400</v>
      </c>
      <c r="I142" s="35">
        <v>0</v>
      </c>
      <c r="J142" s="36">
        <f t="shared" si="3"/>
        <v>2099400</v>
      </c>
    </row>
    <row r="143" spans="1:10" ht="31.25">
      <c r="A143" s="32">
        <v>134</v>
      </c>
      <c r="B143" s="33" t="s">
        <v>597</v>
      </c>
      <c r="C143" s="34" t="s">
        <v>147</v>
      </c>
      <c r="D143" s="34" t="s">
        <v>322</v>
      </c>
      <c r="E143" s="34">
        <v>4</v>
      </c>
      <c r="F143" s="35">
        <v>509000</v>
      </c>
      <c r="G143" s="11">
        <f>24500*4</f>
        <v>98000</v>
      </c>
      <c r="H143" s="11">
        <v>0</v>
      </c>
      <c r="I143" s="35">
        <v>0</v>
      </c>
      <c r="J143" s="36">
        <f t="shared" si="3"/>
        <v>607000</v>
      </c>
    </row>
    <row r="144" spans="1:10" ht="31.25">
      <c r="A144" s="32">
        <v>135</v>
      </c>
      <c r="B144" s="33" t="s">
        <v>323</v>
      </c>
      <c r="C144" s="34" t="s">
        <v>147</v>
      </c>
      <c r="D144" s="34" t="s">
        <v>322</v>
      </c>
      <c r="E144" s="34">
        <v>5</v>
      </c>
      <c r="F144" s="35">
        <v>220000</v>
      </c>
      <c r="G144" s="11">
        <f>24500*5</f>
        <v>122500</v>
      </c>
      <c r="H144" s="11">
        <v>0</v>
      </c>
      <c r="I144" s="35">
        <v>0</v>
      </c>
      <c r="J144" s="36">
        <f t="shared" si="3"/>
        <v>342500</v>
      </c>
    </row>
    <row r="145" spans="1:10" ht="31.25">
      <c r="A145" s="32">
        <v>136</v>
      </c>
      <c r="B145" s="33" t="s">
        <v>597</v>
      </c>
      <c r="C145" s="34" t="s">
        <v>147</v>
      </c>
      <c r="D145" s="34" t="s">
        <v>322</v>
      </c>
      <c r="E145" s="34">
        <v>4</v>
      </c>
      <c r="F145" s="35">
        <v>1050000</v>
      </c>
      <c r="G145" s="11">
        <f>24500*4</f>
        <v>98000</v>
      </c>
      <c r="H145" s="11">
        <f>404000+410000</f>
        <v>814000</v>
      </c>
      <c r="I145" s="35">
        <v>0</v>
      </c>
      <c r="J145" s="36">
        <f t="shared" si="3"/>
        <v>1962000</v>
      </c>
    </row>
    <row r="146" spans="1:10" ht="31.25">
      <c r="A146" s="32">
        <v>137</v>
      </c>
      <c r="B146" s="33" t="s">
        <v>323</v>
      </c>
      <c r="C146" s="34" t="s">
        <v>147</v>
      </c>
      <c r="D146" s="34" t="s">
        <v>322</v>
      </c>
      <c r="E146" s="34">
        <v>5</v>
      </c>
      <c r="F146" s="35">
        <v>1400000</v>
      </c>
      <c r="G146" s="11">
        <f>24500*5</f>
        <v>122500</v>
      </c>
      <c r="H146" s="11">
        <f>385000+420000+427800</f>
        <v>1232800</v>
      </c>
      <c r="I146" s="35">
        <v>0</v>
      </c>
      <c r="J146" s="36">
        <f t="shared" si="3"/>
        <v>2755300</v>
      </c>
    </row>
    <row r="147" spans="1:10" ht="31.25">
      <c r="A147" s="32">
        <v>138</v>
      </c>
      <c r="B147" s="33" t="s">
        <v>598</v>
      </c>
      <c r="C147" s="34" t="s">
        <v>324</v>
      </c>
      <c r="D147" s="34" t="s">
        <v>325</v>
      </c>
      <c r="E147" s="34">
        <v>19</v>
      </c>
      <c r="F147" s="35">
        <f>125000+1000000+600000</f>
        <v>1725000</v>
      </c>
      <c r="G147" s="11">
        <f>24500*19</f>
        <v>465500</v>
      </c>
      <c r="H147" s="35">
        <f>30000+30000+30000+70000</f>
        <v>160000</v>
      </c>
      <c r="I147" s="35">
        <v>0</v>
      </c>
      <c r="J147" s="36">
        <f t="shared" si="3"/>
        <v>2350500</v>
      </c>
    </row>
    <row r="148" spans="1:10" ht="31.25">
      <c r="A148" s="32">
        <v>139</v>
      </c>
      <c r="B148" s="33" t="s">
        <v>599</v>
      </c>
      <c r="C148" s="34" t="s">
        <v>326</v>
      </c>
      <c r="D148" s="34" t="s">
        <v>325</v>
      </c>
      <c r="E148" s="34">
        <v>12</v>
      </c>
      <c r="F148" s="35">
        <f>1200000+1000000</f>
        <v>2200000</v>
      </c>
      <c r="G148" s="11">
        <f>24500*12</f>
        <v>294000</v>
      </c>
      <c r="H148" s="11">
        <f>143500+328000</f>
        <v>471500</v>
      </c>
      <c r="I148" s="35">
        <v>0</v>
      </c>
      <c r="J148" s="36">
        <f t="shared" si="3"/>
        <v>2965500</v>
      </c>
    </row>
    <row r="149" spans="1:10" ht="31.25">
      <c r="A149" s="32">
        <v>140</v>
      </c>
      <c r="B149" s="33" t="s">
        <v>327</v>
      </c>
      <c r="C149" s="34" t="s">
        <v>328</v>
      </c>
      <c r="D149" s="34" t="s">
        <v>329</v>
      </c>
      <c r="E149" s="34">
        <v>3</v>
      </c>
      <c r="F149" s="35">
        <v>0</v>
      </c>
      <c r="G149" s="11">
        <f>24500*3</f>
        <v>73500</v>
      </c>
      <c r="H149" s="11">
        <f>104270*2</f>
        <v>208540</v>
      </c>
      <c r="I149" s="35">
        <v>0</v>
      </c>
      <c r="J149" s="36">
        <f t="shared" si="3"/>
        <v>282040</v>
      </c>
    </row>
    <row r="150" spans="1:10" ht="31.25">
      <c r="A150" s="32">
        <v>141</v>
      </c>
      <c r="B150" s="33" t="s">
        <v>330</v>
      </c>
      <c r="C150" s="34" t="s">
        <v>331</v>
      </c>
      <c r="D150" s="34" t="s">
        <v>332</v>
      </c>
      <c r="E150" s="34">
        <v>4</v>
      </c>
      <c r="F150" s="35">
        <v>270000</v>
      </c>
      <c r="G150" s="11">
        <f>24500*4</f>
        <v>98000</v>
      </c>
      <c r="H150" s="11">
        <v>0</v>
      </c>
      <c r="I150" s="35">
        <v>0</v>
      </c>
      <c r="J150" s="36">
        <f t="shared" si="3"/>
        <v>368000</v>
      </c>
    </row>
    <row r="151" spans="1:10" ht="31.25">
      <c r="A151" s="32">
        <v>142</v>
      </c>
      <c r="B151" s="33" t="s">
        <v>600</v>
      </c>
      <c r="C151" s="34" t="s">
        <v>104</v>
      </c>
      <c r="D151" s="34" t="s">
        <v>333</v>
      </c>
      <c r="E151" s="34">
        <v>5</v>
      </c>
      <c r="F151" s="35">
        <v>1400000</v>
      </c>
      <c r="G151" s="11">
        <f>24500*5</f>
        <v>122500</v>
      </c>
      <c r="H151" s="11">
        <v>0</v>
      </c>
      <c r="I151" s="35">
        <v>0</v>
      </c>
      <c r="J151" s="36">
        <f t="shared" si="3"/>
        <v>1522500</v>
      </c>
    </row>
    <row r="152" spans="1:10" ht="31.25">
      <c r="A152" s="32">
        <v>143</v>
      </c>
      <c r="B152" s="33" t="s">
        <v>601</v>
      </c>
      <c r="C152" s="34" t="s">
        <v>334</v>
      </c>
      <c r="D152" s="34" t="s">
        <v>335</v>
      </c>
      <c r="E152" s="34">
        <v>5</v>
      </c>
      <c r="F152" s="35">
        <v>0</v>
      </c>
      <c r="G152" s="11">
        <f>24500*5</f>
        <v>122500</v>
      </c>
      <c r="H152" s="11">
        <v>0</v>
      </c>
      <c r="I152" s="35">
        <v>0</v>
      </c>
      <c r="J152" s="36">
        <f t="shared" si="3"/>
        <v>122500</v>
      </c>
    </row>
    <row r="153" spans="1:10" ht="31.25">
      <c r="A153" s="32">
        <v>144</v>
      </c>
      <c r="B153" s="33" t="s">
        <v>602</v>
      </c>
      <c r="C153" s="34" t="s">
        <v>231</v>
      </c>
      <c r="D153" s="34" t="s">
        <v>336</v>
      </c>
      <c r="E153" s="34">
        <v>5</v>
      </c>
      <c r="F153" s="35">
        <v>0</v>
      </c>
      <c r="G153" s="11">
        <f>24500*5</f>
        <v>122500</v>
      </c>
      <c r="H153" s="11">
        <v>0</v>
      </c>
      <c r="I153" s="35">
        <v>0</v>
      </c>
      <c r="J153" s="36">
        <f t="shared" si="3"/>
        <v>122500</v>
      </c>
    </row>
    <row r="154" spans="1:10" ht="31.25">
      <c r="A154" s="32">
        <v>145</v>
      </c>
      <c r="B154" s="33" t="s">
        <v>603</v>
      </c>
      <c r="C154" s="34" t="s">
        <v>252</v>
      </c>
      <c r="D154" s="34" t="s">
        <v>337</v>
      </c>
      <c r="E154" s="34">
        <v>2</v>
      </c>
      <c r="F154" s="35">
        <v>0</v>
      </c>
      <c r="G154" s="11">
        <f>24500*2</f>
        <v>49000</v>
      </c>
      <c r="H154" s="11">
        <v>0</v>
      </c>
      <c r="I154" s="35">
        <v>0</v>
      </c>
      <c r="J154" s="36">
        <f t="shared" si="3"/>
        <v>49000</v>
      </c>
    </row>
    <row r="155" spans="1:10" ht="31.25">
      <c r="A155" s="32">
        <v>146</v>
      </c>
      <c r="B155" s="33" t="s">
        <v>603</v>
      </c>
      <c r="C155" s="34" t="s">
        <v>252</v>
      </c>
      <c r="D155" s="34" t="s">
        <v>337</v>
      </c>
      <c r="E155" s="34">
        <v>2</v>
      </c>
      <c r="F155" s="35">
        <v>220000</v>
      </c>
      <c r="G155" s="11">
        <f>24500*2</f>
        <v>49000</v>
      </c>
      <c r="H155" s="11">
        <v>0</v>
      </c>
      <c r="I155" s="35">
        <v>0</v>
      </c>
      <c r="J155" s="36">
        <f t="shared" si="3"/>
        <v>269000</v>
      </c>
    </row>
    <row r="156" spans="1:10" ht="31.25">
      <c r="A156" s="32">
        <v>147</v>
      </c>
      <c r="B156" s="33" t="s">
        <v>601</v>
      </c>
      <c r="C156" s="34" t="s">
        <v>334</v>
      </c>
      <c r="D156" s="34" t="s">
        <v>335</v>
      </c>
      <c r="E156" s="34">
        <v>5</v>
      </c>
      <c r="F156" s="35">
        <v>0</v>
      </c>
      <c r="G156" s="11">
        <f>24500*5</f>
        <v>122500</v>
      </c>
      <c r="H156" s="11">
        <v>0</v>
      </c>
      <c r="I156" s="35">
        <v>0</v>
      </c>
      <c r="J156" s="36">
        <f t="shared" si="3"/>
        <v>122500</v>
      </c>
    </row>
    <row r="157" spans="1:10" ht="31.25">
      <c r="A157" s="32">
        <v>148</v>
      </c>
      <c r="B157" s="33" t="s">
        <v>338</v>
      </c>
      <c r="C157" s="34" t="s">
        <v>339</v>
      </c>
      <c r="D157" s="34" t="s">
        <v>340</v>
      </c>
      <c r="E157" s="34">
        <v>4</v>
      </c>
      <c r="F157" s="35">
        <v>0</v>
      </c>
      <c r="G157" s="11">
        <f>24500*4</f>
        <v>98000</v>
      </c>
      <c r="H157" s="11">
        <v>0</v>
      </c>
      <c r="I157" s="35">
        <v>0</v>
      </c>
      <c r="J157" s="36">
        <f t="shared" si="3"/>
        <v>98000</v>
      </c>
    </row>
    <row r="158" spans="1:10" ht="31.25">
      <c r="A158" s="32">
        <v>149</v>
      </c>
      <c r="B158" s="33" t="s">
        <v>341</v>
      </c>
      <c r="C158" s="34" t="s">
        <v>342</v>
      </c>
      <c r="D158" s="34" t="s">
        <v>337</v>
      </c>
      <c r="E158" s="34">
        <v>2</v>
      </c>
      <c r="F158" s="35">
        <v>0</v>
      </c>
      <c r="G158" s="11">
        <f>24500*2</f>
        <v>49000</v>
      </c>
      <c r="H158" s="11">
        <v>0</v>
      </c>
      <c r="I158" s="35">
        <v>0</v>
      </c>
      <c r="J158" s="36">
        <f t="shared" si="3"/>
        <v>49000</v>
      </c>
    </row>
    <row r="159" spans="1:10" ht="31.25">
      <c r="A159" s="32">
        <v>150</v>
      </c>
      <c r="B159" s="33" t="s">
        <v>343</v>
      </c>
      <c r="C159" s="34" t="s">
        <v>320</v>
      </c>
      <c r="D159" s="34" t="s">
        <v>333</v>
      </c>
      <c r="E159" s="34">
        <v>5</v>
      </c>
      <c r="F159" s="35">
        <v>0</v>
      </c>
      <c r="G159" s="11">
        <f>24500*5</f>
        <v>122500</v>
      </c>
      <c r="H159" s="11">
        <v>0</v>
      </c>
      <c r="I159" s="35">
        <v>0</v>
      </c>
      <c r="J159" s="36">
        <f t="shared" si="3"/>
        <v>122500</v>
      </c>
    </row>
    <row r="160" spans="1:10" ht="31.25">
      <c r="A160" s="32">
        <v>151</v>
      </c>
      <c r="B160" s="33" t="s">
        <v>344</v>
      </c>
      <c r="C160" s="34" t="s">
        <v>339</v>
      </c>
      <c r="D160" s="34" t="s">
        <v>345</v>
      </c>
      <c r="E160" s="34">
        <v>3</v>
      </c>
      <c r="F160" s="35">
        <v>0</v>
      </c>
      <c r="G160" s="11">
        <f>24500*3</f>
        <v>73500</v>
      </c>
      <c r="H160" s="11">
        <v>0</v>
      </c>
      <c r="I160" s="35">
        <v>0</v>
      </c>
      <c r="J160" s="36">
        <f t="shared" si="3"/>
        <v>73500</v>
      </c>
    </row>
    <row r="161" spans="1:10" ht="31.25">
      <c r="A161" s="32">
        <v>152</v>
      </c>
      <c r="B161" s="33" t="s">
        <v>346</v>
      </c>
      <c r="C161" s="34" t="s">
        <v>90</v>
      </c>
      <c r="D161" s="34" t="s">
        <v>347</v>
      </c>
      <c r="E161" s="34">
        <v>2</v>
      </c>
      <c r="F161" s="35">
        <v>300000</v>
      </c>
      <c r="G161" s="11">
        <f>24500*2</f>
        <v>49000</v>
      </c>
      <c r="H161" s="11">
        <v>0</v>
      </c>
      <c r="I161" s="35">
        <v>0</v>
      </c>
      <c r="J161" s="36">
        <f t="shared" si="3"/>
        <v>349000</v>
      </c>
    </row>
    <row r="162" spans="1:10" ht="31.25">
      <c r="A162" s="32">
        <v>153</v>
      </c>
      <c r="B162" s="33" t="s">
        <v>348</v>
      </c>
      <c r="C162" s="34" t="s">
        <v>90</v>
      </c>
      <c r="D162" s="34" t="s">
        <v>349</v>
      </c>
      <c r="E162" s="34">
        <v>4</v>
      </c>
      <c r="F162" s="35">
        <v>750000</v>
      </c>
      <c r="G162" s="11">
        <f>24500*4</f>
        <v>98000</v>
      </c>
      <c r="H162" s="11">
        <v>0</v>
      </c>
      <c r="I162" s="35">
        <v>0</v>
      </c>
      <c r="J162" s="36">
        <f t="shared" si="3"/>
        <v>848000</v>
      </c>
    </row>
    <row r="163" spans="1:10" ht="31.25">
      <c r="A163" s="32">
        <v>154</v>
      </c>
      <c r="B163" s="33" t="s">
        <v>346</v>
      </c>
      <c r="C163" s="34" t="s">
        <v>90</v>
      </c>
      <c r="D163" s="34" t="s">
        <v>347</v>
      </c>
      <c r="E163" s="34">
        <v>2</v>
      </c>
      <c r="F163" s="35">
        <v>0</v>
      </c>
      <c r="G163" s="11">
        <f>24500*2</f>
        <v>49000</v>
      </c>
      <c r="H163" s="11">
        <v>230000</v>
      </c>
      <c r="I163" s="35">
        <v>0</v>
      </c>
      <c r="J163" s="36">
        <f t="shared" si="3"/>
        <v>279000</v>
      </c>
    </row>
    <row r="164" spans="1:10" ht="31.25">
      <c r="A164" s="32">
        <v>155</v>
      </c>
      <c r="B164" s="33" t="s">
        <v>348</v>
      </c>
      <c r="C164" s="34" t="s">
        <v>90</v>
      </c>
      <c r="D164" s="34" t="s">
        <v>349</v>
      </c>
      <c r="E164" s="34">
        <v>4</v>
      </c>
      <c r="F164" s="35">
        <v>750000</v>
      </c>
      <c r="G164" s="11">
        <f>24500*4</f>
        <v>98000</v>
      </c>
      <c r="H164" s="11">
        <v>208000</v>
      </c>
      <c r="I164" s="35">
        <v>0</v>
      </c>
      <c r="J164" s="36">
        <f t="shared" si="3"/>
        <v>1056000</v>
      </c>
    </row>
    <row r="165" spans="1:10" ht="31.25">
      <c r="A165" s="32">
        <v>156</v>
      </c>
      <c r="B165" s="33" t="s">
        <v>350</v>
      </c>
      <c r="C165" s="34" t="s">
        <v>339</v>
      </c>
      <c r="D165" s="34" t="s">
        <v>351</v>
      </c>
      <c r="E165" s="34">
        <v>3</v>
      </c>
      <c r="F165" s="35">
        <v>500000</v>
      </c>
      <c r="G165" s="11">
        <f>24500*3</f>
        <v>73500</v>
      </c>
      <c r="H165" s="11">
        <v>1169296</v>
      </c>
      <c r="I165" s="35">
        <v>0</v>
      </c>
      <c r="J165" s="36">
        <f t="shared" si="3"/>
        <v>1742796</v>
      </c>
    </row>
    <row r="166" spans="1:10" ht="31.25">
      <c r="A166" s="32">
        <v>157</v>
      </c>
      <c r="B166" s="33" t="s">
        <v>352</v>
      </c>
      <c r="C166" s="34" t="s">
        <v>353</v>
      </c>
      <c r="D166" s="34" t="s">
        <v>354</v>
      </c>
      <c r="E166" s="34">
        <v>9</v>
      </c>
      <c r="F166" s="35">
        <f>750000+150000+200000+200000</f>
        <v>1300000</v>
      </c>
      <c r="G166" s="11">
        <f>24500*9</f>
        <v>220500</v>
      </c>
      <c r="H166" s="11">
        <f>296400+237000+178000+162000+286000+340000</f>
        <v>1499400</v>
      </c>
      <c r="I166" s="35">
        <v>0</v>
      </c>
      <c r="J166" s="36">
        <f t="shared" si="3"/>
        <v>3019900</v>
      </c>
    </row>
    <row r="167" spans="1:10" ht="31.25">
      <c r="A167" s="32">
        <v>158</v>
      </c>
      <c r="B167" s="33" t="s">
        <v>352</v>
      </c>
      <c r="C167" s="34" t="s">
        <v>353</v>
      </c>
      <c r="D167" s="34" t="s">
        <v>354</v>
      </c>
      <c r="E167" s="34">
        <v>9</v>
      </c>
      <c r="F167" s="35">
        <f>750000+150000+200000+200000</f>
        <v>1300000</v>
      </c>
      <c r="G167" s="11">
        <f>24500*9</f>
        <v>220500</v>
      </c>
      <c r="H167" s="11">
        <v>0</v>
      </c>
      <c r="I167" s="35">
        <v>0</v>
      </c>
      <c r="J167" s="36">
        <f t="shared" si="3"/>
        <v>1520500</v>
      </c>
    </row>
    <row r="168" spans="1:10" ht="31.25">
      <c r="A168" s="32">
        <v>159</v>
      </c>
      <c r="B168" s="33" t="s">
        <v>355</v>
      </c>
      <c r="C168" s="34" t="s">
        <v>356</v>
      </c>
      <c r="D168" s="34" t="s">
        <v>357</v>
      </c>
      <c r="E168" s="34">
        <v>4</v>
      </c>
      <c r="F168" s="35">
        <v>300000</v>
      </c>
      <c r="G168" s="11">
        <f>22300*4</f>
        <v>89200</v>
      </c>
      <c r="H168" s="11">
        <f>143050+143050</f>
        <v>286100</v>
      </c>
      <c r="I168" s="35">
        <v>0</v>
      </c>
      <c r="J168" s="36">
        <f t="shared" si="3"/>
        <v>675300</v>
      </c>
    </row>
    <row r="169" spans="1:10" ht="31.25">
      <c r="A169" s="32">
        <v>160</v>
      </c>
      <c r="B169" s="33" t="s">
        <v>358</v>
      </c>
      <c r="C169" s="34" t="s">
        <v>356</v>
      </c>
      <c r="D169" s="34" t="s">
        <v>359</v>
      </c>
      <c r="E169" s="34">
        <v>7</v>
      </c>
      <c r="F169" s="35">
        <f>660000+200000</f>
        <v>860000</v>
      </c>
      <c r="G169" s="11">
        <f>24500*7</f>
        <v>171500</v>
      </c>
      <c r="H169" s="11">
        <v>261000</v>
      </c>
      <c r="I169" s="35">
        <v>0</v>
      </c>
      <c r="J169" s="36">
        <f t="shared" si="3"/>
        <v>1292500</v>
      </c>
    </row>
    <row r="170" spans="1:10" ht="31.25">
      <c r="A170" s="32">
        <v>161</v>
      </c>
      <c r="B170" s="33" t="s">
        <v>360</v>
      </c>
      <c r="C170" s="34" t="s">
        <v>356</v>
      </c>
      <c r="D170" s="34" t="s">
        <v>361</v>
      </c>
      <c r="E170" s="34">
        <v>3</v>
      </c>
      <c r="F170" s="35">
        <v>600000</v>
      </c>
      <c r="G170" s="11">
        <f>24500*3</f>
        <v>73500</v>
      </c>
      <c r="H170" s="11">
        <v>240600</v>
      </c>
      <c r="I170" s="35">
        <v>0</v>
      </c>
      <c r="J170" s="36">
        <f t="shared" si="3"/>
        <v>914100</v>
      </c>
    </row>
    <row r="171" spans="1:10" ht="31.25">
      <c r="A171" s="32">
        <v>162</v>
      </c>
      <c r="B171" s="33" t="s">
        <v>362</v>
      </c>
      <c r="C171" s="34" t="s">
        <v>363</v>
      </c>
      <c r="D171" s="34" t="s">
        <v>364</v>
      </c>
      <c r="E171" s="34">
        <v>10</v>
      </c>
      <c r="F171" s="35">
        <v>0</v>
      </c>
      <c r="G171" s="11">
        <f>22300*10</f>
        <v>223000</v>
      </c>
      <c r="H171" s="11">
        <v>175000</v>
      </c>
      <c r="I171" s="35">
        <v>0</v>
      </c>
      <c r="J171" s="36">
        <f t="shared" si="3"/>
        <v>398000</v>
      </c>
    </row>
    <row r="172" spans="1:10" ht="31.25">
      <c r="A172" s="32">
        <v>163</v>
      </c>
      <c r="B172" s="33" t="s">
        <v>365</v>
      </c>
      <c r="C172" s="34" t="s">
        <v>99</v>
      </c>
      <c r="D172" s="34" t="s">
        <v>366</v>
      </c>
      <c r="E172" s="34">
        <v>5</v>
      </c>
      <c r="F172" s="35">
        <f>140000+540000</f>
        <v>680000</v>
      </c>
      <c r="G172" s="11">
        <f>22300*5</f>
        <v>111500</v>
      </c>
      <c r="H172" s="11">
        <v>0</v>
      </c>
      <c r="I172" s="35">
        <v>0</v>
      </c>
      <c r="J172" s="36">
        <f t="shared" si="3"/>
        <v>791500</v>
      </c>
    </row>
    <row r="173" spans="1:10" ht="31.25">
      <c r="A173" s="32">
        <v>164</v>
      </c>
      <c r="B173" s="33" t="s">
        <v>367</v>
      </c>
      <c r="C173" s="34" t="s">
        <v>328</v>
      </c>
      <c r="D173" s="34" t="s">
        <v>368</v>
      </c>
      <c r="E173" s="34">
        <v>1</v>
      </c>
      <c r="F173" s="35">
        <v>0</v>
      </c>
      <c r="G173" s="11">
        <v>24500</v>
      </c>
      <c r="H173" s="11">
        <f>150700+260000</f>
        <v>410700</v>
      </c>
      <c r="I173" s="35">
        <v>0</v>
      </c>
      <c r="J173" s="36">
        <f t="shared" si="3"/>
        <v>435200</v>
      </c>
    </row>
    <row r="174" spans="1:10" ht="31.25">
      <c r="A174" s="32">
        <v>165</v>
      </c>
      <c r="B174" s="33" t="s">
        <v>369</v>
      </c>
      <c r="C174" s="34" t="s">
        <v>99</v>
      </c>
      <c r="D174" s="34" t="s">
        <v>370</v>
      </c>
      <c r="E174" s="34">
        <v>4</v>
      </c>
      <c r="F174" s="35">
        <v>510000</v>
      </c>
      <c r="G174" s="11">
        <f>24500*4</f>
        <v>98000</v>
      </c>
      <c r="H174" s="11">
        <v>433570</v>
      </c>
      <c r="I174" s="35">
        <v>0</v>
      </c>
      <c r="J174" s="36">
        <f t="shared" si="3"/>
        <v>1041570</v>
      </c>
    </row>
    <row r="175" spans="1:10" ht="31.25">
      <c r="A175" s="32">
        <v>166</v>
      </c>
      <c r="B175" s="33" t="s">
        <v>367</v>
      </c>
      <c r="C175" s="34" t="s">
        <v>328</v>
      </c>
      <c r="D175" s="34" t="s">
        <v>368</v>
      </c>
      <c r="E175" s="34">
        <v>1</v>
      </c>
      <c r="F175" s="35">
        <v>0</v>
      </c>
      <c r="G175" s="11">
        <v>24500</v>
      </c>
      <c r="H175" s="11">
        <v>0</v>
      </c>
      <c r="I175" s="35">
        <v>0</v>
      </c>
      <c r="J175" s="36">
        <f t="shared" si="3"/>
        <v>24500</v>
      </c>
    </row>
    <row r="176" spans="1:10" ht="31.25">
      <c r="A176" s="32">
        <v>167</v>
      </c>
      <c r="B176" s="33" t="s">
        <v>371</v>
      </c>
      <c r="C176" s="34" t="s">
        <v>372</v>
      </c>
      <c r="D176" s="34" t="s">
        <v>373</v>
      </c>
      <c r="E176" s="34">
        <v>13</v>
      </c>
      <c r="F176" s="35">
        <v>700000</v>
      </c>
      <c r="G176" s="11">
        <f>24500*13</f>
        <v>318500</v>
      </c>
      <c r="H176" s="11">
        <f>426000+420000+468000+426000+497000+385000+438000</f>
        <v>3060000</v>
      </c>
      <c r="I176" s="35">
        <v>0</v>
      </c>
      <c r="J176" s="36">
        <f t="shared" si="3"/>
        <v>4078500</v>
      </c>
    </row>
    <row r="177" spans="1:10" ht="31.25">
      <c r="A177" s="32">
        <v>168</v>
      </c>
      <c r="B177" s="33" t="s">
        <v>371</v>
      </c>
      <c r="C177" s="34" t="s">
        <v>372</v>
      </c>
      <c r="D177" s="34" t="s">
        <v>373</v>
      </c>
      <c r="E177" s="34">
        <v>13</v>
      </c>
      <c r="F177" s="35">
        <v>0</v>
      </c>
      <c r="G177" s="11">
        <f>24500*13</f>
        <v>318500</v>
      </c>
      <c r="H177" s="11">
        <v>0</v>
      </c>
      <c r="I177" s="35">
        <v>0</v>
      </c>
      <c r="J177" s="36">
        <f t="shared" si="3"/>
        <v>318500</v>
      </c>
    </row>
    <row r="178" spans="1:10" ht="31.25">
      <c r="A178" s="32">
        <v>169</v>
      </c>
      <c r="B178" s="33" t="s">
        <v>374</v>
      </c>
      <c r="C178" s="34" t="s">
        <v>131</v>
      </c>
      <c r="D178" s="34" t="s">
        <v>359</v>
      </c>
      <c r="E178" s="34">
        <v>4</v>
      </c>
      <c r="F178" s="35">
        <v>660000</v>
      </c>
      <c r="G178" s="11">
        <f>24500*4</f>
        <v>98000</v>
      </c>
      <c r="H178" s="11">
        <v>0</v>
      </c>
      <c r="I178" s="35">
        <v>0</v>
      </c>
      <c r="J178" s="36">
        <f t="shared" si="3"/>
        <v>758000</v>
      </c>
    </row>
    <row r="179" spans="1:10" ht="31.25">
      <c r="A179" s="32">
        <v>170</v>
      </c>
      <c r="B179" s="33" t="s">
        <v>360</v>
      </c>
      <c r="C179" s="34" t="s">
        <v>131</v>
      </c>
      <c r="D179" s="34" t="s">
        <v>361</v>
      </c>
      <c r="E179" s="34">
        <v>3</v>
      </c>
      <c r="F179" s="35">
        <v>600000</v>
      </c>
      <c r="G179" s="11">
        <f>24500*3</f>
        <v>73500</v>
      </c>
      <c r="H179" s="11">
        <v>0</v>
      </c>
      <c r="I179" s="35">
        <v>0</v>
      </c>
      <c r="J179" s="36">
        <f t="shared" si="3"/>
        <v>673500</v>
      </c>
    </row>
    <row r="180" spans="1:10" ht="31.25">
      <c r="A180" s="32">
        <v>171</v>
      </c>
      <c r="B180" s="33" t="s">
        <v>375</v>
      </c>
      <c r="C180" s="34" t="s">
        <v>104</v>
      </c>
      <c r="D180" s="34" t="s">
        <v>376</v>
      </c>
      <c r="E180" s="34">
        <v>4</v>
      </c>
      <c r="F180" s="35">
        <f>880000-220000</f>
        <v>660000</v>
      </c>
      <c r="G180" s="11">
        <f>24500*4</f>
        <v>98000</v>
      </c>
      <c r="H180" s="11">
        <f>195000+387829</f>
        <v>582829</v>
      </c>
      <c r="I180" s="35">
        <v>0</v>
      </c>
      <c r="J180" s="36">
        <f t="shared" si="3"/>
        <v>1340829</v>
      </c>
    </row>
    <row r="181" spans="1:10" ht="31.25">
      <c r="A181" s="32">
        <v>172</v>
      </c>
      <c r="B181" s="33" t="s">
        <v>377</v>
      </c>
      <c r="C181" s="34" t="s">
        <v>378</v>
      </c>
      <c r="D181" s="34" t="s">
        <v>368</v>
      </c>
      <c r="E181" s="34">
        <v>2</v>
      </c>
      <c r="F181" s="35">
        <v>200000</v>
      </c>
      <c r="G181" s="11">
        <f>24500*2</f>
        <v>49000</v>
      </c>
      <c r="H181" s="11">
        <v>203000</v>
      </c>
      <c r="I181" s="35">
        <v>0</v>
      </c>
      <c r="J181" s="36">
        <f t="shared" si="3"/>
        <v>452000</v>
      </c>
    </row>
    <row r="182" spans="1:10" ht="31.25">
      <c r="A182" s="32">
        <v>173</v>
      </c>
      <c r="B182" s="33" t="s">
        <v>379</v>
      </c>
      <c r="C182" s="34" t="s">
        <v>147</v>
      </c>
      <c r="D182" s="34" t="s">
        <v>380</v>
      </c>
      <c r="E182" s="34">
        <v>2</v>
      </c>
      <c r="F182" s="35">
        <v>500000</v>
      </c>
      <c r="G182" s="11">
        <f>22300*2</f>
        <v>44600</v>
      </c>
      <c r="H182" s="11">
        <v>0</v>
      </c>
      <c r="I182" s="35">
        <v>0</v>
      </c>
      <c r="J182" s="36">
        <f t="shared" si="3"/>
        <v>544600</v>
      </c>
    </row>
    <row r="183" spans="1:10" ht="31.25">
      <c r="A183" s="32">
        <v>174</v>
      </c>
      <c r="B183" s="33" t="s">
        <v>377</v>
      </c>
      <c r="C183" s="34" t="s">
        <v>378</v>
      </c>
      <c r="D183" s="34" t="s">
        <v>368</v>
      </c>
      <c r="E183" s="34">
        <v>2</v>
      </c>
      <c r="F183" s="35">
        <v>350000</v>
      </c>
      <c r="G183" s="11">
        <f>24500*2</f>
        <v>49000</v>
      </c>
      <c r="H183" s="11">
        <v>0</v>
      </c>
      <c r="I183" s="35">
        <v>0</v>
      </c>
      <c r="J183" s="36">
        <f t="shared" si="3"/>
        <v>399000</v>
      </c>
    </row>
    <row r="184" spans="1:10" ht="31.25">
      <c r="A184" s="32">
        <v>175</v>
      </c>
      <c r="B184" s="33" t="s">
        <v>381</v>
      </c>
      <c r="C184" s="34" t="s">
        <v>99</v>
      </c>
      <c r="D184" s="34" t="s">
        <v>382</v>
      </c>
      <c r="E184" s="34">
        <v>18</v>
      </c>
      <c r="F184" s="35">
        <v>3420000</v>
      </c>
      <c r="G184" s="11">
        <f>24500*18</f>
        <v>441000</v>
      </c>
      <c r="H184" s="11">
        <f>433570+562294</f>
        <v>995864</v>
      </c>
      <c r="I184" s="35">
        <v>0</v>
      </c>
      <c r="J184" s="36">
        <f t="shared" si="3"/>
        <v>4856864</v>
      </c>
    </row>
    <row r="185" spans="1:10" ht="31.25">
      <c r="A185" s="32">
        <v>176</v>
      </c>
      <c r="B185" s="33" t="s">
        <v>381</v>
      </c>
      <c r="C185" s="34" t="s">
        <v>99</v>
      </c>
      <c r="D185" s="34" t="s">
        <v>382</v>
      </c>
      <c r="E185" s="34">
        <v>18</v>
      </c>
      <c r="F185" s="35">
        <v>3420000</v>
      </c>
      <c r="G185" s="11">
        <f>24500*18</f>
        <v>441000</v>
      </c>
      <c r="H185" s="11">
        <f>433570+562294</f>
        <v>995864</v>
      </c>
      <c r="I185" s="35">
        <v>0</v>
      </c>
      <c r="J185" s="36">
        <f t="shared" si="3"/>
        <v>4856864</v>
      </c>
    </row>
    <row r="186" spans="1:10" ht="31.25">
      <c r="A186" s="32">
        <v>177</v>
      </c>
      <c r="B186" s="33" t="s">
        <v>383</v>
      </c>
      <c r="C186" s="34" t="s">
        <v>104</v>
      </c>
      <c r="D186" s="34" t="s">
        <v>384</v>
      </c>
      <c r="E186" s="34">
        <v>6</v>
      </c>
      <c r="F186" s="35">
        <v>1000000</v>
      </c>
      <c r="G186" s="11">
        <f>24500*6</f>
        <v>147000</v>
      </c>
      <c r="H186" s="11">
        <v>300000</v>
      </c>
      <c r="I186" s="35">
        <v>0</v>
      </c>
      <c r="J186" s="36">
        <f t="shared" si="3"/>
        <v>1447000</v>
      </c>
    </row>
    <row r="187" spans="1:10" ht="31.25">
      <c r="A187" s="32">
        <v>178</v>
      </c>
      <c r="B187" s="33" t="s">
        <v>385</v>
      </c>
      <c r="C187" s="34" t="s">
        <v>104</v>
      </c>
      <c r="D187" s="34" t="s">
        <v>384</v>
      </c>
      <c r="E187" s="34">
        <v>11</v>
      </c>
      <c r="F187" s="35">
        <v>2000000</v>
      </c>
      <c r="G187" s="11">
        <f>24500*11</f>
        <v>269500</v>
      </c>
      <c r="H187" s="11">
        <v>300000</v>
      </c>
      <c r="I187" s="35">
        <v>0</v>
      </c>
      <c r="J187" s="36">
        <f t="shared" si="3"/>
        <v>2569500</v>
      </c>
    </row>
    <row r="188" spans="1:10" ht="46.9">
      <c r="A188" s="32">
        <v>179</v>
      </c>
      <c r="B188" s="33" t="s">
        <v>386</v>
      </c>
      <c r="C188" s="34" t="s">
        <v>387</v>
      </c>
      <c r="D188" s="34" t="s">
        <v>388</v>
      </c>
      <c r="E188" s="34">
        <v>18</v>
      </c>
      <c r="F188" s="35">
        <f>2240000+1040000+600000+840000</f>
        <v>4720000</v>
      </c>
      <c r="G188" s="11">
        <f>24500*18</f>
        <v>441000</v>
      </c>
      <c r="H188" s="11">
        <v>205000</v>
      </c>
      <c r="I188" s="35">
        <v>0</v>
      </c>
      <c r="J188" s="36">
        <f t="shared" si="3"/>
        <v>5366000</v>
      </c>
    </row>
    <row r="189" spans="1:10" ht="31.25">
      <c r="A189" s="32">
        <v>180</v>
      </c>
      <c r="B189" s="33" t="s">
        <v>389</v>
      </c>
      <c r="C189" s="34" t="s">
        <v>99</v>
      </c>
      <c r="D189" s="34" t="s">
        <v>390</v>
      </c>
      <c r="E189" s="34">
        <v>5</v>
      </c>
      <c r="F189" s="35">
        <v>0</v>
      </c>
      <c r="G189" s="11">
        <f>24500*5</f>
        <v>122500</v>
      </c>
      <c r="H189" s="11">
        <v>799252</v>
      </c>
      <c r="I189" s="35">
        <v>0</v>
      </c>
      <c r="J189" s="36">
        <f t="shared" si="3"/>
        <v>921752</v>
      </c>
    </row>
    <row r="190" spans="1:10" ht="31.25">
      <c r="A190" s="32">
        <v>181</v>
      </c>
      <c r="B190" s="33" t="s">
        <v>391</v>
      </c>
      <c r="C190" s="34" t="s">
        <v>81</v>
      </c>
      <c r="D190" s="34" t="s">
        <v>392</v>
      </c>
      <c r="E190" s="34">
        <v>2</v>
      </c>
      <c r="F190" s="35">
        <v>0</v>
      </c>
      <c r="G190" s="11">
        <f>24500*2</f>
        <v>49000</v>
      </c>
      <c r="H190" s="11">
        <f>98370+157320</f>
        <v>255690</v>
      </c>
      <c r="I190" s="35">
        <v>0</v>
      </c>
      <c r="J190" s="36">
        <f t="shared" si="3"/>
        <v>304690</v>
      </c>
    </row>
    <row r="191" spans="1:10" ht="31.25">
      <c r="A191" s="32">
        <v>182</v>
      </c>
      <c r="B191" s="33" t="s">
        <v>393</v>
      </c>
      <c r="C191" s="34" t="s">
        <v>99</v>
      </c>
      <c r="D191" s="34" t="s">
        <v>394</v>
      </c>
      <c r="E191" s="34">
        <v>4</v>
      </c>
      <c r="F191" s="35">
        <f>233675+140000</f>
        <v>373675</v>
      </c>
      <c r="G191" s="11">
        <f>24500*4</f>
        <v>98000</v>
      </c>
      <c r="H191" s="11">
        <v>992833</v>
      </c>
      <c r="I191" s="35">
        <v>0</v>
      </c>
      <c r="J191" s="36">
        <f t="shared" si="3"/>
        <v>1464508</v>
      </c>
    </row>
    <row r="192" spans="1:10" ht="31.25">
      <c r="A192" s="32">
        <v>183</v>
      </c>
      <c r="B192" s="33" t="s">
        <v>395</v>
      </c>
      <c r="C192" s="34" t="s">
        <v>99</v>
      </c>
      <c r="D192" s="34" t="s">
        <v>396</v>
      </c>
      <c r="E192" s="34">
        <v>4</v>
      </c>
      <c r="F192" s="35">
        <f>340000+180000</f>
        <v>520000</v>
      </c>
      <c r="G192" s="11">
        <f>22300*4</f>
        <v>89200</v>
      </c>
      <c r="H192" s="11">
        <v>1252801</v>
      </c>
      <c r="I192" s="35">
        <v>0</v>
      </c>
      <c r="J192" s="36">
        <f t="shared" si="3"/>
        <v>1862001</v>
      </c>
    </row>
    <row r="193" spans="1:10" ht="31.25">
      <c r="A193" s="32">
        <v>184</v>
      </c>
      <c r="B193" s="33" t="s">
        <v>397</v>
      </c>
      <c r="C193" s="34" t="s">
        <v>231</v>
      </c>
      <c r="D193" s="34" t="s">
        <v>398</v>
      </c>
      <c r="E193" s="34">
        <v>3</v>
      </c>
      <c r="F193" s="35">
        <v>207000</v>
      </c>
      <c r="G193" s="11">
        <f>24500*3</f>
        <v>73500</v>
      </c>
      <c r="H193" s="11">
        <v>809057</v>
      </c>
      <c r="I193" s="35">
        <v>0</v>
      </c>
      <c r="J193" s="36">
        <f t="shared" si="3"/>
        <v>1089557</v>
      </c>
    </row>
    <row r="194" spans="1:10" ht="31.25">
      <c r="A194" s="32">
        <v>185</v>
      </c>
      <c r="B194" s="33" t="s">
        <v>399</v>
      </c>
      <c r="C194" s="34" t="s">
        <v>231</v>
      </c>
      <c r="D194" s="34" t="s">
        <v>400</v>
      </c>
      <c r="E194" s="34">
        <v>2</v>
      </c>
      <c r="F194" s="35">
        <v>207000</v>
      </c>
      <c r="G194" s="11">
        <f>24500*2</f>
        <v>49000</v>
      </c>
      <c r="H194" s="11">
        <v>0</v>
      </c>
      <c r="I194" s="35">
        <v>0</v>
      </c>
      <c r="J194" s="36">
        <f t="shared" si="3"/>
        <v>256000</v>
      </c>
    </row>
    <row r="195" spans="1:10" ht="31.25">
      <c r="A195" s="32">
        <v>186</v>
      </c>
      <c r="B195" s="33" t="s">
        <v>401</v>
      </c>
      <c r="C195" s="34" t="s">
        <v>131</v>
      </c>
      <c r="D195" s="34" t="s">
        <v>402</v>
      </c>
      <c r="E195" s="34">
        <v>2</v>
      </c>
      <c r="F195" s="35">
        <v>0</v>
      </c>
      <c r="G195" s="11">
        <f>24500*2</f>
        <v>49000</v>
      </c>
      <c r="H195" s="11">
        <f>208000*2</f>
        <v>416000</v>
      </c>
      <c r="I195" s="35">
        <v>0</v>
      </c>
      <c r="J195" s="36">
        <f t="shared" si="3"/>
        <v>465000</v>
      </c>
    </row>
    <row r="196" spans="1:10" ht="31.25">
      <c r="A196" s="32">
        <v>187</v>
      </c>
      <c r="B196" s="33" t="s">
        <v>393</v>
      </c>
      <c r="C196" s="34" t="s">
        <v>99</v>
      </c>
      <c r="D196" s="34" t="s">
        <v>403</v>
      </c>
      <c r="E196" s="34">
        <v>4</v>
      </c>
      <c r="F196" s="35">
        <f>233675+140000</f>
        <v>373675</v>
      </c>
      <c r="G196" s="11">
        <f>24500*4</f>
        <v>98000</v>
      </c>
      <c r="H196" s="11">
        <v>992833</v>
      </c>
      <c r="I196" s="35">
        <v>0</v>
      </c>
      <c r="J196" s="36">
        <f t="shared" si="3"/>
        <v>1464508</v>
      </c>
    </row>
    <row r="197" spans="1:10" ht="31.25">
      <c r="A197" s="32">
        <v>188</v>
      </c>
      <c r="B197" s="33" t="s">
        <v>355</v>
      </c>
      <c r="C197" s="34" t="s">
        <v>99</v>
      </c>
      <c r="D197" s="34" t="s">
        <v>404</v>
      </c>
      <c r="E197" s="34">
        <v>5</v>
      </c>
      <c r="F197" s="35">
        <v>600000</v>
      </c>
      <c r="G197" s="11">
        <f>24500*5</f>
        <v>122500</v>
      </c>
      <c r="H197" s="11">
        <v>0</v>
      </c>
      <c r="I197" s="35">
        <v>0</v>
      </c>
      <c r="J197" s="36">
        <f t="shared" si="3"/>
        <v>722500</v>
      </c>
    </row>
    <row r="198" spans="1:10" ht="31.25">
      <c r="A198" s="32">
        <v>189</v>
      </c>
      <c r="B198" s="33" t="s">
        <v>355</v>
      </c>
      <c r="C198" s="34" t="s">
        <v>99</v>
      </c>
      <c r="D198" s="34" t="s">
        <v>404</v>
      </c>
      <c r="E198" s="34">
        <v>5</v>
      </c>
      <c r="F198" s="35">
        <v>600000</v>
      </c>
      <c r="G198" s="11">
        <f>24500*5</f>
        <v>122500</v>
      </c>
      <c r="H198" s="11">
        <v>0</v>
      </c>
      <c r="I198" s="35">
        <v>0</v>
      </c>
      <c r="J198" s="36">
        <f t="shared" si="3"/>
        <v>722500</v>
      </c>
    </row>
    <row r="199" spans="1:10" ht="31.25">
      <c r="A199" s="32">
        <v>190</v>
      </c>
      <c r="B199" s="33" t="s">
        <v>405</v>
      </c>
      <c r="C199" s="34" t="s">
        <v>334</v>
      </c>
      <c r="D199" s="34" t="s">
        <v>406</v>
      </c>
      <c r="E199" s="34">
        <v>4</v>
      </c>
      <c r="F199" s="35">
        <f>143500+52800+105000</f>
        <v>301300</v>
      </c>
      <c r="G199" s="11">
        <f>24500*4</f>
        <v>98000</v>
      </c>
      <c r="H199" s="11">
        <v>0</v>
      </c>
      <c r="I199" s="35">
        <v>0</v>
      </c>
      <c r="J199" s="36">
        <f t="shared" si="3"/>
        <v>399300</v>
      </c>
    </row>
    <row r="200" spans="1:10" ht="31.25">
      <c r="A200" s="32">
        <v>191</v>
      </c>
      <c r="B200" s="33" t="s">
        <v>386</v>
      </c>
      <c r="C200" s="34" t="s">
        <v>387</v>
      </c>
      <c r="D200" s="34" t="s">
        <v>407</v>
      </c>
      <c r="E200" s="34">
        <v>18</v>
      </c>
      <c r="F200" s="35">
        <f>1760000+1040000+600000+660000</f>
        <v>4060000</v>
      </c>
      <c r="G200" s="11">
        <f>24500*18</f>
        <v>441000</v>
      </c>
      <c r="H200" s="11">
        <v>205000</v>
      </c>
      <c r="I200" s="35">
        <v>0</v>
      </c>
      <c r="J200" s="36">
        <f t="shared" si="3"/>
        <v>4706000</v>
      </c>
    </row>
    <row r="201" spans="1:10" ht="31.25">
      <c r="A201" s="32">
        <v>192</v>
      </c>
      <c r="B201" s="33" t="s">
        <v>355</v>
      </c>
      <c r="C201" s="34" t="s">
        <v>155</v>
      </c>
      <c r="D201" s="34" t="s">
        <v>408</v>
      </c>
      <c r="E201" s="34">
        <v>4</v>
      </c>
      <c r="F201" s="35">
        <v>660000</v>
      </c>
      <c r="G201" s="11">
        <f>24500*4</f>
        <v>98000</v>
      </c>
      <c r="H201" s="11">
        <f>349960+349960</f>
        <v>699920</v>
      </c>
      <c r="I201" s="35">
        <v>0</v>
      </c>
      <c r="J201" s="36">
        <f t="shared" si="3"/>
        <v>1457920</v>
      </c>
    </row>
    <row r="202" spans="1:10" ht="31.25">
      <c r="A202" s="32">
        <v>193</v>
      </c>
      <c r="B202" s="33" t="s">
        <v>374</v>
      </c>
      <c r="C202" s="34" t="s">
        <v>131</v>
      </c>
      <c r="D202" s="34" t="s">
        <v>409</v>
      </c>
      <c r="E202" s="34">
        <v>3</v>
      </c>
      <c r="F202" s="35">
        <v>495000</v>
      </c>
      <c r="G202" s="11">
        <f>24500*3</f>
        <v>73500</v>
      </c>
      <c r="H202" s="11">
        <v>0</v>
      </c>
      <c r="I202" s="35">
        <v>0</v>
      </c>
      <c r="J202" s="36">
        <f t="shared" ref="J202:J265" si="4">+F202+G202+H202+I202</f>
        <v>568500</v>
      </c>
    </row>
    <row r="203" spans="1:10" ht="31.25">
      <c r="A203" s="32">
        <v>194</v>
      </c>
      <c r="B203" s="33" t="s">
        <v>355</v>
      </c>
      <c r="C203" s="34" t="s">
        <v>99</v>
      </c>
      <c r="D203" s="34" t="s">
        <v>410</v>
      </c>
      <c r="E203" s="34">
        <v>10</v>
      </c>
      <c r="F203" s="35">
        <f>140000+80000+1080000</f>
        <v>1300000</v>
      </c>
      <c r="G203" s="11">
        <f>24500*10</f>
        <v>245000</v>
      </c>
      <c r="H203" s="11">
        <v>0</v>
      </c>
      <c r="I203" s="35">
        <v>0</v>
      </c>
      <c r="J203" s="36">
        <f t="shared" si="4"/>
        <v>1545000</v>
      </c>
    </row>
    <row r="204" spans="1:10" ht="31.25">
      <c r="A204" s="32">
        <v>195</v>
      </c>
      <c r="B204" s="33" t="s">
        <v>374</v>
      </c>
      <c r="C204" s="34" t="s">
        <v>131</v>
      </c>
      <c r="D204" s="34" t="s">
        <v>409</v>
      </c>
      <c r="E204" s="34">
        <v>3</v>
      </c>
      <c r="F204" s="35">
        <v>495000</v>
      </c>
      <c r="G204" s="11">
        <f>24500*3</f>
        <v>73500</v>
      </c>
      <c r="H204" s="11">
        <f>290000+180000+406000+183000</f>
        <v>1059000</v>
      </c>
      <c r="I204" s="35">
        <v>0</v>
      </c>
      <c r="J204" s="36">
        <f t="shared" si="4"/>
        <v>1627500</v>
      </c>
    </row>
    <row r="205" spans="1:10" ht="31.25">
      <c r="A205" s="32">
        <v>196</v>
      </c>
      <c r="B205" s="33" t="s">
        <v>411</v>
      </c>
      <c r="C205" s="34" t="s">
        <v>107</v>
      </c>
      <c r="D205" s="34" t="s">
        <v>412</v>
      </c>
      <c r="E205" s="34">
        <v>4</v>
      </c>
      <c r="F205" s="35">
        <v>0</v>
      </c>
      <c r="G205" s="11">
        <f>24500*4</f>
        <v>98000</v>
      </c>
      <c r="H205" s="11">
        <v>0</v>
      </c>
      <c r="I205" s="35">
        <v>0</v>
      </c>
      <c r="J205" s="36">
        <f t="shared" si="4"/>
        <v>98000</v>
      </c>
    </row>
    <row r="206" spans="1:10" ht="31.25">
      <c r="A206" s="32">
        <v>197</v>
      </c>
      <c r="B206" s="33" t="s">
        <v>411</v>
      </c>
      <c r="C206" s="34" t="s">
        <v>155</v>
      </c>
      <c r="D206" s="34" t="s">
        <v>413</v>
      </c>
      <c r="E206" s="34">
        <v>3</v>
      </c>
      <c r="F206" s="35">
        <v>318000</v>
      </c>
      <c r="G206" s="11">
        <f>24500*3</f>
        <v>73500</v>
      </c>
      <c r="H206" s="11">
        <v>0</v>
      </c>
      <c r="I206" s="35">
        <v>0</v>
      </c>
      <c r="J206" s="36">
        <f t="shared" si="4"/>
        <v>391500</v>
      </c>
    </row>
    <row r="207" spans="1:10" ht="31.25">
      <c r="A207" s="32">
        <v>198</v>
      </c>
      <c r="B207" s="33" t="s">
        <v>414</v>
      </c>
      <c r="C207" s="34" t="s">
        <v>164</v>
      </c>
      <c r="D207" s="34" t="s">
        <v>415</v>
      </c>
      <c r="E207" s="34">
        <v>9</v>
      </c>
      <c r="F207" s="35">
        <f>190000+1750000</f>
        <v>1940000</v>
      </c>
      <c r="G207" s="11">
        <f>24500*9</f>
        <v>220500</v>
      </c>
      <c r="H207" s="11">
        <v>0</v>
      </c>
      <c r="I207" s="35">
        <v>0</v>
      </c>
      <c r="J207" s="36">
        <f t="shared" si="4"/>
        <v>2160500</v>
      </c>
    </row>
    <row r="208" spans="1:10" ht="31.25">
      <c r="A208" s="32">
        <v>199</v>
      </c>
      <c r="B208" s="33" t="s">
        <v>416</v>
      </c>
      <c r="C208" s="34" t="s">
        <v>117</v>
      </c>
      <c r="D208" s="34" t="s">
        <v>417</v>
      </c>
      <c r="E208" s="34">
        <v>3</v>
      </c>
      <c r="F208" s="35">
        <v>400000</v>
      </c>
      <c r="G208" s="11">
        <f>24500*3</f>
        <v>73500</v>
      </c>
      <c r="H208" s="11">
        <v>0</v>
      </c>
      <c r="I208" s="35">
        <v>0</v>
      </c>
      <c r="J208" s="36">
        <f t="shared" si="4"/>
        <v>473500</v>
      </c>
    </row>
    <row r="209" spans="1:10" ht="31.25">
      <c r="A209" s="32">
        <v>200</v>
      </c>
      <c r="B209" s="33" t="s">
        <v>418</v>
      </c>
      <c r="C209" s="34" t="s">
        <v>104</v>
      </c>
      <c r="D209" s="34" t="s">
        <v>419</v>
      </c>
      <c r="E209" s="34">
        <v>3</v>
      </c>
      <c r="F209" s="35">
        <v>0</v>
      </c>
      <c r="G209" s="11">
        <f t="shared" ref="G209:G210" si="5">24500*3</f>
        <v>73500</v>
      </c>
      <c r="H209" s="11">
        <v>467736</v>
      </c>
      <c r="I209" s="35">
        <v>0</v>
      </c>
      <c r="J209" s="36">
        <f t="shared" si="4"/>
        <v>541236</v>
      </c>
    </row>
    <row r="210" spans="1:10" ht="31.25">
      <c r="A210" s="32">
        <v>201</v>
      </c>
      <c r="B210" s="33" t="s">
        <v>604</v>
      </c>
      <c r="C210" s="34" t="s">
        <v>104</v>
      </c>
      <c r="D210" s="34" t="s">
        <v>420</v>
      </c>
      <c r="E210" s="34">
        <v>3</v>
      </c>
      <c r="F210" s="35">
        <v>0</v>
      </c>
      <c r="G210" s="11">
        <f t="shared" si="5"/>
        <v>73500</v>
      </c>
      <c r="H210" s="11">
        <v>204000</v>
      </c>
      <c r="I210" s="35">
        <v>0</v>
      </c>
      <c r="J210" s="36">
        <f t="shared" si="4"/>
        <v>277500</v>
      </c>
    </row>
    <row r="211" spans="1:10" ht="31.25">
      <c r="A211" s="32">
        <v>202</v>
      </c>
      <c r="B211" s="33" t="s">
        <v>421</v>
      </c>
      <c r="C211" s="34" t="s">
        <v>422</v>
      </c>
      <c r="D211" s="34" t="s">
        <v>423</v>
      </c>
      <c r="E211" s="34">
        <v>2</v>
      </c>
      <c r="F211" s="35">
        <v>120000</v>
      </c>
      <c r="G211" s="11">
        <v>44600</v>
      </c>
      <c r="H211" s="11">
        <v>110000</v>
      </c>
      <c r="I211" s="35">
        <v>0</v>
      </c>
      <c r="J211" s="36">
        <f t="shared" si="4"/>
        <v>274600</v>
      </c>
    </row>
    <row r="212" spans="1:10" ht="31.25">
      <c r="A212" s="32">
        <v>203</v>
      </c>
      <c r="B212" s="33">
        <v>44316</v>
      </c>
      <c r="C212" s="34" t="s">
        <v>257</v>
      </c>
      <c r="D212" s="34" t="s">
        <v>423</v>
      </c>
      <c r="E212" s="34">
        <v>1</v>
      </c>
      <c r="F212" s="35">
        <v>0</v>
      </c>
      <c r="G212" s="11">
        <v>22300</v>
      </c>
      <c r="H212" s="11">
        <v>137500</v>
      </c>
      <c r="I212" s="35">
        <v>0</v>
      </c>
      <c r="J212" s="36">
        <f t="shared" si="4"/>
        <v>159800</v>
      </c>
    </row>
    <row r="213" spans="1:10" ht="31.25">
      <c r="A213" s="32">
        <v>204</v>
      </c>
      <c r="B213" s="33" t="s">
        <v>424</v>
      </c>
      <c r="C213" s="34" t="s">
        <v>158</v>
      </c>
      <c r="D213" s="34" t="s">
        <v>425</v>
      </c>
      <c r="E213" s="34">
        <v>25</v>
      </c>
      <c r="F213" s="35">
        <v>4414000</v>
      </c>
      <c r="G213" s="11">
        <f>24500*25</f>
        <v>612500</v>
      </c>
      <c r="H213" s="11">
        <f>143500+143500</f>
        <v>287000</v>
      </c>
      <c r="I213" s="35">
        <v>0</v>
      </c>
      <c r="J213" s="36">
        <f t="shared" si="4"/>
        <v>5313500</v>
      </c>
    </row>
    <row r="214" spans="1:10" ht="31.25">
      <c r="A214" s="32">
        <v>205</v>
      </c>
      <c r="B214" s="33" t="s">
        <v>424</v>
      </c>
      <c r="C214" s="34" t="s">
        <v>158</v>
      </c>
      <c r="D214" s="34" t="s">
        <v>425</v>
      </c>
      <c r="E214" s="34">
        <v>25</v>
      </c>
      <c r="F214" s="35">
        <v>4344000</v>
      </c>
      <c r="G214" s="11">
        <f>24500*25</f>
        <v>612500</v>
      </c>
      <c r="H214" s="11">
        <f>143500+143500</f>
        <v>287000</v>
      </c>
      <c r="I214" s="35">
        <v>0</v>
      </c>
      <c r="J214" s="36">
        <f t="shared" si="4"/>
        <v>5243500</v>
      </c>
    </row>
    <row r="215" spans="1:10" ht="31.25">
      <c r="A215" s="32">
        <v>206</v>
      </c>
      <c r="B215" s="33" t="s">
        <v>426</v>
      </c>
      <c r="C215" s="34" t="s">
        <v>99</v>
      </c>
      <c r="D215" s="34" t="s">
        <v>427</v>
      </c>
      <c r="E215" s="34">
        <v>10</v>
      </c>
      <c r="F215" s="35">
        <f>80000+140000+1080000</f>
        <v>1300000</v>
      </c>
      <c r="G215" s="11">
        <f>24500*10</f>
        <v>245000</v>
      </c>
      <c r="H215" s="11">
        <v>0</v>
      </c>
      <c r="I215" s="35">
        <v>0</v>
      </c>
      <c r="J215" s="36">
        <f t="shared" si="4"/>
        <v>1545000</v>
      </c>
    </row>
    <row r="216" spans="1:10" ht="31.25">
      <c r="A216" s="32">
        <v>207</v>
      </c>
      <c r="B216" s="33" t="s">
        <v>428</v>
      </c>
      <c r="C216" s="34" t="s">
        <v>99</v>
      </c>
      <c r="D216" s="34" t="s">
        <v>336</v>
      </c>
      <c r="E216" s="34">
        <v>3</v>
      </c>
      <c r="F216" s="35">
        <v>0</v>
      </c>
      <c r="G216" s="11">
        <f>24500*3</f>
        <v>73500</v>
      </c>
      <c r="H216" s="11">
        <v>0</v>
      </c>
      <c r="I216" s="35">
        <v>0</v>
      </c>
      <c r="J216" s="36">
        <f t="shared" si="4"/>
        <v>73500</v>
      </c>
    </row>
    <row r="217" spans="1:10" ht="31.25">
      <c r="A217" s="32">
        <v>208</v>
      </c>
      <c r="B217" s="33" t="s">
        <v>429</v>
      </c>
      <c r="C217" s="34" t="s">
        <v>104</v>
      </c>
      <c r="D217" s="34" t="s">
        <v>430</v>
      </c>
      <c r="E217" s="34">
        <v>4</v>
      </c>
      <c r="F217" s="35">
        <v>0</v>
      </c>
      <c r="G217" s="11">
        <f>24500*4</f>
        <v>98000</v>
      </c>
      <c r="H217" s="11">
        <v>0</v>
      </c>
      <c r="I217" s="35">
        <v>0</v>
      </c>
      <c r="J217" s="36">
        <f t="shared" si="4"/>
        <v>98000</v>
      </c>
    </row>
    <row r="218" spans="1:10" ht="31.25">
      <c r="A218" s="32">
        <v>209</v>
      </c>
      <c r="B218" s="33" t="s">
        <v>411</v>
      </c>
      <c r="C218" s="34" t="s">
        <v>431</v>
      </c>
      <c r="D218" s="34" t="s">
        <v>432</v>
      </c>
      <c r="E218" s="34">
        <v>4</v>
      </c>
      <c r="F218" s="35">
        <v>0</v>
      </c>
      <c r="G218" s="11">
        <f>24500*4</f>
        <v>98000</v>
      </c>
      <c r="H218" s="11">
        <v>300000</v>
      </c>
      <c r="I218" s="35">
        <v>0</v>
      </c>
      <c r="J218" s="36">
        <f t="shared" si="4"/>
        <v>398000</v>
      </c>
    </row>
    <row r="219" spans="1:10" ht="31.25">
      <c r="A219" s="32">
        <v>210</v>
      </c>
      <c r="B219" s="33" t="s">
        <v>433</v>
      </c>
      <c r="C219" s="34" t="s">
        <v>434</v>
      </c>
      <c r="D219" s="34" t="s">
        <v>435</v>
      </c>
      <c r="E219" s="34">
        <v>3</v>
      </c>
      <c r="F219" s="35">
        <v>0</v>
      </c>
      <c r="G219" s="11">
        <f>24500*3</f>
        <v>73500</v>
      </c>
      <c r="H219" s="11">
        <f>146800+204000</f>
        <v>350800</v>
      </c>
      <c r="I219" s="35">
        <v>0</v>
      </c>
      <c r="J219" s="36">
        <f t="shared" si="4"/>
        <v>424300</v>
      </c>
    </row>
    <row r="220" spans="1:10" ht="31.25">
      <c r="A220" s="32">
        <v>211</v>
      </c>
      <c r="B220" s="33" t="s">
        <v>605</v>
      </c>
      <c r="C220" s="34" t="s">
        <v>436</v>
      </c>
      <c r="D220" s="34" t="s">
        <v>437</v>
      </c>
      <c r="E220" s="34">
        <v>3</v>
      </c>
      <c r="F220" s="35">
        <v>330000</v>
      </c>
      <c r="G220" s="11">
        <f>24500*3</f>
        <v>73500</v>
      </c>
      <c r="H220" s="11">
        <v>165000</v>
      </c>
      <c r="I220" s="35">
        <v>0</v>
      </c>
      <c r="J220" s="36">
        <f t="shared" si="4"/>
        <v>568500</v>
      </c>
    </row>
    <row r="221" spans="1:10" ht="31.25">
      <c r="A221" s="32">
        <v>212</v>
      </c>
      <c r="B221" s="33" t="s">
        <v>605</v>
      </c>
      <c r="C221" s="34" t="s">
        <v>436</v>
      </c>
      <c r="D221" s="34" t="s">
        <v>437</v>
      </c>
      <c r="E221" s="34">
        <v>3</v>
      </c>
      <c r="F221" s="35">
        <v>330000</v>
      </c>
      <c r="G221" s="11">
        <f>24500*3</f>
        <v>73500</v>
      </c>
      <c r="H221" s="11">
        <v>0</v>
      </c>
      <c r="I221" s="35">
        <v>0</v>
      </c>
      <c r="J221" s="36">
        <f t="shared" si="4"/>
        <v>403500</v>
      </c>
    </row>
    <row r="222" spans="1:10">
      <c r="A222" s="32">
        <v>213</v>
      </c>
      <c r="B222" s="33">
        <v>44310</v>
      </c>
      <c r="C222" s="34" t="s">
        <v>107</v>
      </c>
      <c r="D222" s="34" t="s">
        <v>438</v>
      </c>
      <c r="E222" s="34">
        <v>1</v>
      </c>
      <c r="F222" s="35">
        <v>0</v>
      </c>
      <c r="G222" s="11">
        <f>24500*1</f>
        <v>24500</v>
      </c>
      <c r="H222" s="11">
        <v>220000</v>
      </c>
      <c r="I222" s="35">
        <v>0</v>
      </c>
      <c r="J222" s="36">
        <f t="shared" si="4"/>
        <v>244500</v>
      </c>
    </row>
    <row r="223" spans="1:10" ht="31.25">
      <c r="A223" s="32">
        <v>214</v>
      </c>
      <c r="B223" s="33" t="s">
        <v>439</v>
      </c>
      <c r="C223" s="34" t="s">
        <v>440</v>
      </c>
      <c r="D223" s="34" t="s">
        <v>441</v>
      </c>
      <c r="E223" s="34">
        <v>2</v>
      </c>
      <c r="F223" s="35">
        <v>0</v>
      </c>
      <c r="G223" s="11">
        <f>24500*2</f>
        <v>49000</v>
      </c>
      <c r="H223" s="11">
        <v>0</v>
      </c>
      <c r="I223" s="35">
        <v>0</v>
      </c>
      <c r="J223" s="36">
        <f t="shared" si="4"/>
        <v>49000</v>
      </c>
    </row>
    <row r="224" spans="1:10" ht="31.25">
      <c r="A224" s="32">
        <v>215</v>
      </c>
      <c r="B224" s="33" t="s">
        <v>442</v>
      </c>
      <c r="C224" s="34" t="s">
        <v>222</v>
      </c>
      <c r="D224" s="34" t="s">
        <v>443</v>
      </c>
      <c r="E224" s="34">
        <v>2</v>
      </c>
      <c r="F224" s="35">
        <v>0</v>
      </c>
      <c r="G224" s="11">
        <f>24500*2</f>
        <v>49000</v>
      </c>
      <c r="H224" s="11">
        <v>0</v>
      </c>
      <c r="I224" s="35">
        <v>0</v>
      </c>
      <c r="J224" s="36">
        <f t="shared" si="4"/>
        <v>49000</v>
      </c>
    </row>
    <row r="225" spans="1:10" ht="31.25">
      <c r="A225" s="32">
        <v>216</v>
      </c>
      <c r="B225" s="33" t="s">
        <v>444</v>
      </c>
      <c r="C225" s="34" t="s">
        <v>445</v>
      </c>
      <c r="D225" s="34" t="s">
        <v>446</v>
      </c>
      <c r="E225" s="34">
        <v>5</v>
      </c>
      <c r="F225" s="35">
        <v>0</v>
      </c>
      <c r="G225" s="11">
        <f>24500*5</f>
        <v>122500</v>
      </c>
      <c r="H225" s="11">
        <v>0</v>
      </c>
      <c r="I225" s="35">
        <v>0</v>
      </c>
      <c r="J225" s="36">
        <f t="shared" si="4"/>
        <v>122500</v>
      </c>
    </row>
    <row r="226" spans="1:10" ht="31.25">
      <c r="A226" s="32">
        <v>217</v>
      </c>
      <c r="B226" s="33" t="s">
        <v>444</v>
      </c>
      <c r="C226" s="34" t="s">
        <v>445</v>
      </c>
      <c r="D226" s="34" t="s">
        <v>446</v>
      </c>
      <c r="E226" s="34">
        <v>5</v>
      </c>
      <c r="F226" s="35">
        <v>0</v>
      </c>
      <c r="G226" s="11">
        <f>24500*5</f>
        <v>122500</v>
      </c>
      <c r="H226" s="11">
        <v>0</v>
      </c>
      <c r="I226" s="35">
        <v>0</v>
      </c>
      <c r="J226" s="36">
        <f t="shared" si="4"/>
        <v>122500</v>
      </c>
    </row>
    <row r="227" spans="1:10" ht="31.25">
      <c r="A227" s="32">
        <v>218</v>
      </c>
      <c r="B227" s="33" t="s">
        <v>447</v>
      </c>
      <c r="C227" s="34" t="s">
        <v>81</v>
      </c>
      <c r="D227" s="34" t="s">
        <v>448</v>
      </c>
      <c r="E227" s="34">
        <v>6</v>
      </c>
      <c r="F227" s="35">
        <f>230000*6</f>
        <v>1380000</v>
      </c>
      <c r="G227" s="11">
        <f>24500*5</f>
        <v>122500</v>
      </c>
      <c r="H227" s="11">
        <f>103000+148000</f>
        <v>251000</v>
      </c>
      <c r="I227" s="35">
        <v>0</v>
      </c>
      <c r="J227" s="36">
        <f t="shared" si="4"/>
        <v>1753500</v>
      </c>
    </row>
    <row r="228" spans="1:10" ht="31.25">
      <c r="A228" s="32">
        <v>219</v>
      </c>
      <c r="B228" s="33" t="s">
        <v>449</v>
      </c>
      <c r="C228" s="34" t="s">
        <v>440</v>
      </c>
      <c r="D228" s="34" t="s">
        <v>450</v>
      </c>
      <c r="E228" s="34">
        <v>11</v>
      </c>
      <c r="F228" s="35">
        <f>1040000+1250000</f>
        <v>2290000</v>
      </c>
      <c r="G228" s="11">
        <f t="shared" ref="G228:G231" si="6">24500*11</f>
        <v>269500</v>
      </c>
      <c r="H228" s="11">
        <f>304000+169800+169000+207000+270000+210600+100000</f>
        <v>1430400</v>
      </c>
      <c r="I228" s="35">
        <v>0</v>
      </c>
      <c r="J228" s="36">
        <f t="shared" si="4"/>
        <v>3989900</v>
      </c>
    </row>
    <row r="229" spans="1:10" ht="31.25">
      <c r="A229" s="32">
        <v>220</v>
      </c>
      <c r="B229" s="33" t="s">
        <v>449</v>
      </c>
      <c r="C229" s="34" t="s">
        <v>440</v>
      </c>
      <c r="D229" s="34" t="s">
        <v>450</v>
      </c>
      <c r="E229" s="34">
        <v>11</v>
      </c>
      <c r="F229" s="35">
        <f>1250000+700000</f>
        <v>1950000</v>
      </c>
      <c r="G229" s="11">
        <f t="shared" si="6"/>
        <v>269500</v>
      </c>
      <c r="H229" s="11">
        <v>0</v>
      </c>
      <c r="I229" s="35">
        <v>0</v>
      </c>
      <c r="J229" s="36">
        <f t="shared" si="4"/>
        <v>2219500</v>
      </c>
    </row>
    <row r="230" spans="1:10" ht="31.25">
      <c r="A230" s="32">
        <v>221</v>
      </c>
      <c r="B230" s="33" t="s">
        <v>449</v>
      </c>
      <c r="C230" s="34" t="s">
        <v>440</v>
      </c>
      <c r="D230" s="34" t="s">
        <v>450</v>
      </c>
      <c r="E230" s="34">
        <v>11</v>
      </c>
      <c r="F230" s="35">
        <f>700000+1250000</f>
        <v>1950000</v>
      </c>
      <c r="G230" s="11">
        <f t="shared" si="6"/>
        <v>269500</v>
      </c>
      <c r="H230" s="11">
        <v>0</v>
      </c>
      <c r="I230" s="35">
        <v>0</v>
      </c>
      <c r="J230" s="36">
        <f t="shared" si="4"/>
        <v>2219500</v>
      </c>
    </row>
    <row r="231" spans="1:10" ht="31.25">
      <c r="A231" s="32">
        <v>222</v>
      </c>
      <c r="B231" s="33" t="s">
        <v>449</v>
      </c>
      <c r="C231" s="34" t="s">
        <v>440</v>
      </c>
      <c r="D231" s="34" t="s">
        <v>450</v>
      </c>
      <c r="E231" s="34">
        <v>11</v>
      </c>
      <c r="F231" s="35">
        <f>1040000+1250000</f>
        <v>2290000</v>
      </c>
      <c r="G231" s="11">
        <f t="shared" si="6"/>
        <v>269500</v>
      </c>
      <c r="H231" s="11">
        <v>0</v>
      </c>
      <c r="I231" s="35">
        <v>0</v>
      </c>
      <c r="J231" s="36">
        <f t="shared" si="4"/>
        <v>2559500</v>
      </c>
    </row>
    <row r="232" spans="1:10" ht="31.25">
      <c r="A232" s="32">
        <v>223</v>
      </c>
      <c r="B232" s="33" t="s">
        <v>451</v>
      </c>
      <c r="C232" s="34" t="s">
        <v>440</v>
      </c>
      <c r="D232" s="34" t="s">
        <v>452</v>
      </c>
      <c r="E232" s="34">
        <v>11</v>
      </c>
      <c r="F232" s="35">
        <v>1991000</v>
      </c>
      <c r="G232" s="11">
        <f>24500*11</f>
        <v>269500</v>
      </c>
      <c r="H232" s="11">
        <f>143500+133140</f>
        <v>276640</v>
      </c>
      <c r="I232" s="35">
        <v>0</v>
      </c>
      <c r="J232" s="36">
        <f t="shared" si="4"/>
        <v>2537140</v>
      </c>
    </row>
    <row r="233" spans="1:10" ht="31.25">
      <c r="A233" s="32">
        <v>224</v>
      </c>
      <c r="B233" s="33" t="s">
        <v>421</v>
      </c>
      <c r="C233" s="34" t="s">
        <v>453</v>
      </c>
      <c r="D233" s="34" t="s">
        <v>423</v>
      </c>
      <c r="E233" s="34">
        <v>3</v>
      </c>
      <c r="F233" s="35">
        <v>300000</v>
      </c>
      <c r="G233" s="11">
        <f>22300*3</f>
        <v>66900</v>
      </c>
      <c r="H233" s="11">
        <v>0</v>
      </c>
      <c r="I233" s="35">
        <v>0</v>
      </c>
      <c r="J233" s="36">
        <f t="shared" si="4"/>
        <v>366900</v>
      </c>
    </row>
    <row r="234" spans="1:10" ht="31.25">
      <c r="A234" s="32">
        <v>225</v>
      </c>
      <c r="B234" s="33" t="s">
        <v>454</v>
      </c>
      <c r="C234" s="34" t="s">
        <v>422</v>
      </c>
      <c r="D234" s="34" t="s">
        <v>423</v>
      </c>
      <c r="E234" s="34">
        <v>2</v>
      </c>
      <c r="F234" s="35">
        <v>0</v>
      </c>
      <c r="G234" s="11">
        <f>22300*2</f>
        <v>44600</v>
      </c>
      <c r="H234" s="11">
        <v>110000</v>
      </c>
      <c r="I234" s="35">
        <v>0</v>
      </c>
      <c r="J234" s="36">
        <f t="shared" si="4"/>
        <v>154600</v>
      </c>
    </row>
    <row r="235" spans="1:10" ht="31.25">
      <c r="A235" s="32">
        <v>226</v>
      </c>
      <c r="B235" s="33" t="s">
        <v>455</v>
      </c>
      <c r="C235" s="34" t="s">
        <v>456</v>
      </c>
      <c r="D235" s="34" t="s">
        <v>457</v>
      </c>
      <c r="E235" s="34">
        <v>9</v>
      </c>
      <c r="F235" s="35">
        <f>250000+330000</f>
        <v>580000</v>
      </c>
      <c r="G235" s="11">
        <f>24500*9</f>
        <v>220500</v>
      </c>
      <c r="H235" s="11">
        <v>387600</v>
      </c>
      <c r="I235" s="35">
        <v>0</v>
      </c>
      <c r="J235" s="36">
        <f t="shared" si="4"/>
        <v>1188100</v>
      </c>
    </row>
    <row r="236" spans="1:10" ht="31.25">
      <c r="A236" s="32">
        <v>227</v>
      </c>
      <c r="B236" s="33" t="s">
        <v>455</v>
      </c>
      <c r="C236" s="34" t="s">
        <v>456</v>
      </c>
      <c r="D236" s="34" t="s">
        <v>457</v>
      </c>
      <c r="E236" s="34">
        <v>9</v>
      </c>
      <c r="F236" s="35">
        <f>250000+330000+220000+250000</f>
        <v>1050000</v>
      </c>
      <c r="G236" s="11">
        <f>24500*9</f>
        <v>220500</v>
      </c>
      <c r="H236" s="11">
        <v>0</v>
      </c>
      <c r="I236" s="35">
        <v>0</v>
      </c>
      <c r="J236" s="36">
        <f t="shared" si="4"/>
        <v>1270500</v>
      </c>
    </row>
    <row r="237" spans="1:10" ht="31.25">
      <c r="A237" s="32">
        <v>228</v>
      </c>
      <c r="B237" s="33" t="s">
        <v>458</v>
      </c>
      <c r="C237" s="34" t="s">
        <v>196</v>
      </c>
      <c r="D237" s="34" t="s">
        <v>459</v>
      </c>
      <c r="E237" s="34">
        <v>5</v>
      </c>
      <c r="F237" s="35">
        <v>720000</v>
      </c>
      <c r="G237" s="11">
        <f>24500*5</f>
        <v>122500</v>
      </c>
      <c r="H237" s="11">
        <v>0</v>
      </c>
      <c r="I237" s="35">
        <v>0</v>
      </c>
      <c r="J237" s="36">
        <f t="shared" si="4"/>
        <v>842500</v>
      </c>
    </row>
    <row r="238" spans="1:10" ht="31.25">
      <c r="A238" s="32">
        <v>229</v>
      </c>
      <c r="B238" s="33" t="s">
        <v>455</v>
      </c>
      <c r="C238" s="34" t="s">
        <v>456</v>
      </c>
      <c r="D238" s="34" t="s">
        <v>460</v>
      </c>
      <c r="E238" s="34">
        <v>9</v>
      </c>
      <c r="F238" s="35">
        <f>200000+330000+250000+500000</f>
        <v>1280000</v>
      </c>
      <c r="G238" s="11">
        <f>24500*9</f>
        <v>220500</v>
      </c>
      <c r="H238" s="11">
        <v>0</v>
      </c>
      <c r="I238" s="35">
        <v>0</v>
      </c>
      <c r="J238" s="36">
        <f t="shared" si="4"/>
        <v>1500500</v>
      </c>
    </row>
    <row r="239" spans="1:10" ht="31.25">
      <c r="A239" s="32">
        <v>230</v>
      </c>
      <c r="B239" s="33" t="s">
        <v>455</v>
      </c>
      <c r="C239" s="34" t="s">
        <v>456</v>
      </c>
      <c r="D239" s="34" t="s">
        <v>460</v>
      </c>
      <c r="E239" s="34">
        <v>9</v>
      </c>
      <c r="F239" s="35">
        <f>250000+330000+500000+200000</f>
        <v>1280000</v>
      </c>
      <c r="G239" s="11">
        <f>24500*9</f>
        <v>220500</v>
      </c>
      <c r="H239" s="11">
        <f>260000+226000+278000+350470</f>
        <v>1114470</v>
      </c>
      <c r="I239" s="35">
        <v>0</v>
      </c>
      <c r="J239" s="36">
        <f t="shared" si="4"/>
        <v>2614970</v>
      </c>
    </row>
    <row r="240" spans="1:10" ht="31.25">
      <c r="A240" s="32">
        <v>231</v>
      </c>
      <c r="B240" s="33" t="s">
        <v>451</v>
      </c>
      <c r="C240" s="34" t="s">
        <v>461</v>
      </c>
      <c r="D240" s="34" t="s">
        <v>462</v>
      </c>
      <c r="E240" s="34">
        <v>11</v>
      </c>
      <c r="F240" s="35">
        <v>2761000</v>
      </c>
      <c r="G240" s="11">
        <f>24500*11</f>
        <v>269500</v>
      </c>
      <c r="H240" s="11">
        <f>143500+133140</f>
        <v>276640</v>
      </c>
      <c r="I240" s="35">
        <v>0</v>
      </c>
      <c r="J240" s="36">
        <f t="shared" si="4"/>
        <v>3307140</v>
      </c>
    </row>
    <row r="241" spans="1:10" ht="46.9">
      <c r="A241" s="32">
        <v>232</v>
      </c>
      <c r="B241" s="33" t="s">
        <v>606</v>
      </c>
      <c r="C241" s="34" t="s">
        <v>463</v>
      </c>
      <c r="D241" s="34" t="s">
        <v>464</v>
      </c>
      <c r="E241" s="34">
        <v>10</v>
      </c>
      <c r="F241" s="35">
        <f>140000+414000+200000+400000</f>
        <v>1154000</v>
      </c>
      <c r="G241" s="11">
        <f>24500*10</f>
        <v>245000</v>
      </c>
      <c r="H241" s="11">
        <f>223000+152000+143000</f>
        <v>518000</v>
      </c>
      <c r="I241" s="35">
        <v>0</v>
      </c>
      <c r="J241" s="36">
        <f t="shared" si="4"/>
        <v>1917000</v>
      </c>
    </row>
    <row r="242" spans="1:10" ht="31.25">
      <c r="A242" s="32">
        <v>233</v>
      </c>
      <c r="B242" s="33" t="s">
        <v>465</v>
      </c>
      <c r="C242" s="34" t="s">
        <v>466</v>
      </c>
      <c r="D242" s="34" t="s">
        <v>467</v>
      </c>
      <c r="E242" s="34">
        <v>9</v>
      </c>
      <c r="F242" s="35">
        <v>170000</v>
      </c>
      <c r="G242" s="11">
        <f>24500*9</f>
        <v>220500</v>
      </c>
      <c r="H242" s="11">
        <v>238000</v>
      </c>
      <c r="I242" s="35">
        <v>0</v>
      </c>
      <c r="J242" s="36">
        <f t="shared" si="4"/>
        <v>628500</v>
      </c>
    </row>
    <row r="243" spans="1:10" ht="31.25">
      <c r="A243" s="32">
        <v>234</v>
      </c>
      <c r="B243" s="33" t="s">
        <v>617</v>
      </c>
      <c r="C243" s="34" t="s">
        <v>264</v>
      </c>
      <c r="D243" s="34" t="s">
        <v>468</v>
      </c>
      <c r="E243" s="34">
        <v>19</v>
      </c>
      <c r="F243" s="35">
        <f>230000+2000000+720000</f>
        <v>2950000</v>
      </c>
      <c r="G243" s="11">
        <f>24500*19</f>
        <v>465500</v>
      </c>
      <c r="H243" s="11">
        <v>84420</v>
      </c>
      <c r="I243" s="35">
        <v>0</v>
      </c>
      <c r="J243" s="36">
        <f t="shared" si="4"/>
        <v>3499920</v>
      </c>
    </row>
    <row r="244" spans="1:10" ht="31.25">
      <c r="A244" s="32">
        <v>235</v>
      </c>
      <c r="B244" s="33" t="s">
        <v>469</v>
      </c>
      <c r="C244" s="34" t="s">
        <v>252</v>
      </c>
      <c r="D244" s="34" t="s">
        <v>470</v>
      </c>
      <c r="E244" s="34">
        <v>7</v>
      </c>
      <c r="F244" s="35">
        <v>250000</v>
      </c>
      <c r="G244" s="11">
        <f>24500*3</f>
        <v>73500</v>
      </c>
      <c r="H244" s="11">
        <v>0</v>
      </c>
      <c r="I244" s="35">
        <v>0</v>
      </c>
      <c r="J244" s="36">
        <f t="shared" si="4"/>
        <v>323500</v>
      </c>
    </row>
    <row r="245" spans="1:10" ht="31.25">
      <c r="A245" s="32">
        <v>236</v>
      </c>
      <c r="B245" s="33" t="s">
        <v>618</v>
      </c>
      <c r="C245" s="34" t="s">
        <v>471</v>
      </c>
      <c r="D245" s="34" t="s">
        <v>472</v>
      </c>
      <c r="E245" s="34">
        <v>3</v>
      </c>
      <c r="F245" s="35">
        <v>300000</v>
      </c>
      <c r="G245" s="11">
        <f>24500*3</f>
        <v>73500</v>
      </c>
      <c r="H245" s="11">
        <f>204000+94000+146000</f>
        <v>444000</v>
      </c>
      <c r="I245" s="35">
        <v>0</v>
      </c>
      <c r="J245" s="36">
        <f t="shared" si="4"/>
        <v>817500</v>
      </c>
    </row>
    <row r="246" spans="1:10" ht="31.25">
      <c r="A246" s="32">
        <v>237</v>
      </c>
      <c r="B246" s="33" t="s">
        <v>473</v>
      </c>
      <c r="C246" s="34" t="s">
        <v>474</v>
      </c>
      <c r="D246" s="34" t="s">
        <v>475</v>
      </c>
      <c r="E246" s="34">
        <v>3</v>
      </c>
      <c r="F246" s="35">
        <v>0</v>
      </c>
      <c r="G246" s="11">
        <f>24500*3</f>
        <v>73500</v>
      </c>
      <c r="H246" s="11">
        <v>204000</v>
      </c>
      <c r="I246" s="35">
        <v>0</v>
      </c>
      <c r="J246" s="36">
        <f t="shared" si="4"/>
        <v>277500</v>
      </c>
    </row>
    <row r="247" spans="1:10" ht="31.25">
      <c r="A247" s="32">
        <v>238</v>
      </c>
      <c r="B247" s="33" t="s">
        <v>476</v>
      </c>
      <c r="C247" s="34" t="s">
        <v>461</v>
      </c>
      <c r="D247" s="34" t="s">
        <v>477</v>
      </c>
      <c r="E247" s="34">
        <v>3</v>
      </c>
      <c r="F247" s="35">
        <v>0</v>
      </c>
      <c r="G247" s="11">
        <f>24500*3</f>
        <v>73500</v>
      </c>
      <c r="H247" s="11">
        <v>282000</v>
      </c>
      <c r="I247" s="35">
        <v>381137</v>
      </c>
      <c r="J247" s="36">
        <f t="shared" si="4"/>
        <v>736637</v>
      </c>
    </row>
    <row r="248" spans="1:10" ht="31.25">
      <c r="A248" s="32">
        <v>239</v>
      </c>
      <c r="B248" s="33" t="s">
        <v>618</v>
      </c>
      <c r="C248" s="34" t="s">
        <v>252</v>
      </c>
      <c r="D248" s="34" t="s">
        <v>478</v>
      </c>
      <c r="E248" s="34">
        <v>2</v>
      </c>
      <c r="F248" s="35">
        <v>0</v>
      </c>
      <c r="G248" s="11">
        <f>24500*2</f>
        <v>49000</v>
      </c>
      <c r="H248" s="11">
        <v>0</v>
      </c>
      <c r="I248" s="35">
        <v>0</v>
      </c>
      <c r="J248" s="36">
        <f t="shared" si="4"/>
        <v>49000</v>
      </c>
    </row>
    <row r="249" spans="1:10" ht="31.25">
      <c r="A249" s="32">
        <v>240</v>
      </c>
      <c r="B249" s="33" t="s">
        <v>479</v>
      </c>
      <c r="C249" s="34" t="s">
        <v>131</v>
      </c>
      <c r="D249" s="34" t="s">
        <v>480</v>
      </c>
      <c r="E249" s="34">
        <v>1</v>
      </c>
      <c r="F249" s="35">
        <v>300000</v>
      </c>
      <c r="G249" s="11">
        <v>22300</v>
      </c>
      <c r="H249" s="11">
        <v>0</v>
      </c>
      <c r="I249" s="35">
        <v>0</v>
      </c>
      <c r="J249" s="36">
        <f t="shared" si="4"/>
        <v>322300</v>
      </c>
    </row>
    <row r="250" spans="1:10" ht="31.25">
      <c r="A250" s="32">
        <v>241</v>
      </c>
      <c r="B250" s="33" t="s">
        <v>607</v>
      </c>
      <c r="C250" s="34" t="s">
        <v>81</v>
      </c>
      <c r="D250" s="34" t="s">
        <v>480</v>
      </c>
      <c r="E250" s="34">
        <v>1</v>
      </c>
      <c r="F250" s="35">
        <v>350000</v>
      </c>
      <c r="G250" s="11">
        <v>22300</v>
      </c>
      <c r="H250" s="11">
        <v>0</v>
      </c>
      <c r="I250" s="35">
        <v>0</v>
      </c>
      <c r="J250" s="36">
        <f t="shared" si="4"/>
        <v>372300</v>
      </c>
    </row>
    <row r="251" spans="1:10" ht="31.25">
      <c r="A251" s="32">
        <v>242</v>
      </c>
      <c r="B251" s="33" t="s">
        <v>481</v>
      </c>
      <c r="C251" s="34" t="s">
        <v>231</v>
      </c>
      <c r="D251" s="34" t="s">
        <v>482</v>
      </c>
      <c r="E251" s="34">
        <v>5</v>
      </c>
      <c r="F251" s="35">
        <v>0</v>
      </c>
      <c r="G251" s="11">
        <f>22300*5</f>
        <v>111500</v>
      </c>
      <c r="H251" s="11">
        <v>898072</v>
      </c>
      <c r="I251" s="35">
        <v>0</v>
      </c>
      <c r="J251" s="36">
        <f t="shared" si="4"/>
        <v>1009572</v>
      </c>
    </row>
    <row r="252" spans="1:10" ht="31.25">
      <c r="A252" s="32">
        <v>243</v>
      </c>
      <c r="B252" s="33" t="s">
        <v>481</v>
      </c>
      <c r="C252" s="34" t="s">
        <v>231</v>
      </c>
      <c r="D252" s="34" t="s">
        <v>482</v>
      </c>
      <c r="E252" s="34">
        <v>5</v>
      </c>
      <c r="F252" s="35">
        <v>0</v>
      </c>
      <c r="G252" s="11">
        <f>22300*5</f>
        <v>111500</v>
      </c>
      <c r="H252" s="11">
        <v>1621519</v>
      </c>
      <c r="I252" s="35">
        <v>0</v>
      </c>
      <c r="J252" s="36">
        <f t="shared" si="4"/>
        <v>1733019</v>
      </c>
    </row>
    <row r="253" spans="1:10" ht="31.25">
      <c r="A253" s="32">
        <v>244</v>
      </c>
      <c r="B253" s="33" t="s">
        <v>483</v>
      </c>
      <c r="C253" s="34" t="s">
        <v>484</v>
      </c>
      <c r="D253" s="34" t="s">
        <v>485</v>
      </c>
      <c r="E253" s="34">
        <v>5</v>
      </c>
      <c r="F253" s="35">
        <v>0</v>
      </c>
      <c r="G253" s="11">
        <f>24500*5</f>
        <v>122500</v>
      </c>
      <c r="H253" s="11">
        <v>0</v>
      </c>
      <c r="I253" s="35">
        <v>0</v>
      </c>
      <c r="J253" s="36">
        <f t="shared" si="4"/>
        <v>122500</v>
      </c>
    </row>
    <row r="254" spans="1:10" ht="31.25">
      <c r="A254" s="32">
        <v>245</v>
      </c>
      <c r="B254" s="33" t="s">
        <v>618</v>
      </c>
      <c r="C254" s="34" t="s">
        <v>252</v>
      </c>
      <c r="D254" s="34" t="s">
        <v>478</v>
      </c>
      <c r="E254" s="34">
        <v>2</v>
      </c>
      <c r="F254" s="35">
        <v>260000</v>
      </c>
      <c r="G254" s="11">
        <f>24500*2</f>
        <v>49000</v>
      </c>
      <c r="H254" s="11">
        <v>0</v>
      </c>
      <c r="I254" s="35">
        <v>0</v>
      </c>
      <c r="J254" s="36">
        <f t="shared" si="4"/>
        <v>309000</v>
      </c>
    </row>
    <row r="255" spans="1:10" ht="31.25">
      <c r="A255" s="32">
        <v>246</v>
      </c>
      <c r="B255" s="33" t="s">
        <v>479</v>
      </c>
      <c r="C255" s="34" t="s">
        <v>131</v>
      </c>
      <c r="D255" s="34" t="s">
        <v>480</v>
      </c>
      <c r="E255" s="34">
        <v>1</v>
      </c>
      <c r="F255" s="35">
        <v>250000</v>
      </c>
      <c r="G255" s="11">
        <f>22300*1</f>
        <v>22300</v>
      </c>
      <c r="H255" s="11">
        <v>0</v>
      </c>
      <c r="I255" s="35">
        <v>0</v>
      </c>
      <c r="J255" s="36">
        <f t="shared" si="4"/>
        <v>272300</v>
      </c>
    </row>
    <row r="256" spans="1:10" ht="31.25">
      <c r="A256" s="32">
        <v>247</v>
      </c>
      <c r="B256" s="33" t="s">
        <v>607</v>
      </c>
      <c r="C256" s="34" t="s">
        <v>81</v>
      </c>
      <c r="D256" s="34" t="s">
        <v>480</v>
      </c>
      <c r="E256" s="34">
        <v>1</v>
      </c>
      <c r="F256" s="35">
        <v>350000</v>
      </c>
      <c r="G256" s="11">
        <v>22300</v>
      </c>
      <c r="H256" s="11">
        <v>0</v>
      </c>
      <c r="I256" s="35">
        <v>0</v>
      </c>
      <c r="J256" s="36">
        <f t="shared" si="4"/>
        <v>372300</v>
      </c>
    </row>
    <row r="257" spans="1:10" ht="31.25">
      <c r="A257" s="32">
        <v>248</v>
      </c>
      <c r="B257" s="33" t="s">
        <v>608</v>
      </c>
      <c r="C257" s="34" t="s">
        <v>104</v>
      </c>
      <c r="D257" s="34" t="s">
        <v>486</v>
      </c>
      <c r="E257" s="34">
        <v>5</v>
      </c>
      <c r="F257" s="35">
        <v>0</v>
      </c>
      <c r="G257" s="11">
        <f>24500*5</f>
        <v>122500</v>
      </c>
      <c r="H257" s="11">
        <f>142000+94700</f>
        <v>236700</v>
      </c>
      <c r="I257" s="35">
        <v>515715</v>
      </c>
      <c r="J257" s="36">
        <f t="shared" si="4"/>
        <v>874915</v>
      </c>
    </row>
    <row r="258" spans="1:10" ht="31.25">
      <c r="A258" s="32">
        <v>249</v>
      </c>
      <c r="B258" s="33" t="s">
        <v>490</v>
      </c>
      <c r="C258" s="34" t="s">
        <v>164</v>
      </c>
      <c r="D258" s="34" t="s">
        <v>487</v>
      </c>
      <c r="E258" s="34">
        <v>4</v>
      </c>
      <c r="F258" s="35">
        <v>600000</v>
      </c>
      <c r="G258" s="11">
        <f t="shared" ref="G258:G263" si="7">24500*4</f>
        <v>98000</v>
      </c>
      <c r="H258" s="11">
        <v>0</v>
      </c>
      <c r="I258" s="35">
        <v>0</v>
      </c>
      <c r="J258" s="36">
        <f t="shared" si="4"/>
        <v>698000</v>
      </c>
    </row>
    <row r="259" spans="1:10" ht="31.25">
      <c r="A259" s="32">
        <v>250</v>
      </c>
      <c r="B259" s="33" t="s">
        <v>490</v>
      </c>
      <c r="C259" s="34" t="s">
        <v>164</v>
      </c>
      <c r="D259" s="34" t="s">
        <v>487</v>
      </c>
      <c r="E259" s="34">
        <v>4</v>
      </c>
      <c r="F259" s="35">
        <v>500000</v>
      </c>
      <c r="G259" s="11">
        <f t="shared" si="7"/>
        <v>98000</v>
      </c>
      <c r="H259" s="11">
        <v>0</v>
      </c>
      <c r="I259" s="35">
        <v>0</v>
      </c>
      <c r="J259" s="36">
        <f t="shared" si="4"/>
        <v>598000</v>
      </c>
    </row>
    <row r="260" spans="1:10" ht="31.25">
      <c r="A260" s="32">
        <v>251</v>
      </c>
      <c r="B260" s="33" t="s">
        <v>490</v>
      </c>
      <c r="C260" s="34" t="s">
        <v>164</v>
      </c>
      <c r="D260" s="34" t="s">
        <v>487</v>
      </c>
      <c r="E260" s="34">
        <v>4</v>
      </c>
      <c r="F260" s="35">
        <v>600000</v>
      </c>
      <c r="G260" s="11">
        <f t="shared" si="7"/>
        <v>98000</v>
      </c>
      <c r="H260" s="11">
        <f>242000+286000+222000+117000</f>
        <v>867000</v>
      </c>
      <c r="I260" s="35">
        <v>0</v>
      </c>
      <c r="J260" s="36">
        <f t="shared" si="4"/>
        <v>1565000</v>
      </c>
    </row>
    <row r="261" spans="1:10" ht="31.25">
      <c r="A261" s="32">
        <v>252</v>
      </c>
      <c r="B261" s="33" t="s">
        <v>488</v>
      </c>
      <c r="C261" s="34" t="s">
        <v>252</v>
      </c>
      <c r="D261" s="34" t="s">
        <v>489</v>
      </c>
      <c r="E261" s="34">
        <v>4</v>
      </c>
      <c r="F261" s="35">
        <f>260000+155000+210000</f>
        <v>625000</v>
      </c>
      <c r="G261" s="11">
        <f t="shared" si="7"/>
        <v>98000</v>
      </c>
      <c r="H261" s="11">
        <f>125570+118150</f>
        <v>243720</v>
      </c>
      <c r="I261" s="35">
        <v>0</v>
      </c>
      <c r="J261" s="36">
        <f t="shared" si="4"/>
        <v>966720</v>
      </c>
    </row>
    <row r="262" spans="1:10" ht="31.25">
      <c r="A262" s="32">
        <v>253</v>
      </c>
      <c r="B262" s="33" t="s">
        <v>490</v>
      </c>
      <c r="C262" s="34" t="s">
        <v>491</v>
      </c>
      <c r="D262" s="34" t="s">
        <v>489</v>
      </c>
      <c r="E262" s="34">
        <v>4</v>
      </c>
      <c r="F262" s="35">
        <v>180000</v>
      </c>
      <c r="G262" s="11">
        <f t="shared" si="7"/>
        <v>98000</v>
      </c>
      <c r="H262" s="11">
        <f>433570+405540</f>
        <v>839110</v>
      </c>
      <c r="I262" s="35">
        <v>0</v>
      </c>
      <c r="J262" s="36">
        <f t="shared" si="4"/>
        <v>1117110</v>
      </c>
    </row>
    <row r="263" spans="1:10" ht="31.25">
      <c r="A263" s="32">
        <v>254</v>
      </c>
      <c r="B263" s="33" t="s">
        <v>609</v>
      </c>
      <c r="C263" s="34" t="s">
        <v>81</v>
      </c>
      <c r="D263" s="34" t="s">
        <v>492</v>
      </c>
      <c r="E263" s="34">
        <v>4</v>
      </c>
      <c r="F263" s="35">
        <f>180000+150000+150000</f>
        <v>480000</v>
      </c>
      <c r="G263" s="11">
        <f t="shared" si="7"/>
        <v>98000</v>
      </c>
      <c r="H263" s="11">
        <v>0</v>
      </c>
      <c r="I263" s="35">
        <v>0</v>
      </c>
      <c r="J263" s="36">
        <f t="shared" si="4"/>
        <v>578000</v>
      </c>
    </row>
    <row r="264" spans="1:10" ht="46.9">
      <c r="A264" s="32">
        <v>255</v>
      </c>
      <c r="B264" s="33" t="s">
        <v>493</v>
      </c>
      <c r="C264" s="34" t="s">
        <v>494</v>
      </c>
      <c r="D264" s="34" t="s">
        <v>489</v>
      </c>
      <c r="E264" s="34">
        <v>8</v>
      </c>
      <c r="F264" s="35">
        <f>598000+230000+120000+250000+200000</f>
        <v>1398000</v>
      </c>
      <c r="G264" s="11">
        <f>24500*7</f>
        <v>171500</v>
      </c>
      <c r="H264" s="11">
        <f>200000+195035</f>
        <v>395035</v>
      </c>
      <c r="I264" s="35">
        <v>0</v>
      </c>
      <c r="J264" s="36">
        <f t="shared" si="4"/>
        <v>1964535</v>
      </c>
    </row>
    <row r="265" spans="1:10" ht="46.9">
      <c r="A265" s="32">
        <v>256</v>
      </c>
      <c r="B265" s="33" t="s">
        <v>493</v>
      </c>
      <c r="C265" s="34" t="s">
        <v>494</v>
      </c>
      <c r="D265" s="34" t="s">
        <v>489</v>
      </c>
      <c r="E265" s="34">
        <v>8</v>
      </c>
      <c r="F265" s="35">
        <f>598000+230000+120000+250000+200000</f>
        <v>1398000</v>
      </c>
      <c r="G265" s="11">
        <f>24500*7</f>
        <v>171500</v>
      </c>
      <c r="H265" s="11">
        <f>200000+195035</f>
        <v>395035</v>
      </c>
      <c r="I265" s="35">
        <v>0</v>
      </c>
      <c r="J265" s="36">
        <f t="shared" si="4"/>
        <v>1964535</v>
      </c>
    </row>
    <row r="266" spans="1:10" ht="31.25">
      <c r="A266" s="32">
        <v>257</v>
      </c>
      <c r="B266" s="33" t="s">
        <v>609</v>
      </c>
      <c r="C266" s="34" t="s">
        <v>81</v>
      </c>
      <c r="D266" s="34" t="s">
        <v>492</v>
      </c>
      <c r="E266" s="34">
        <v>4</v>
      </c>
      <c r="F266" s="35">
        <f>180000+150000+150000</f>
        <v>480000</v>
      </c>
      <c r="G266" s="11">
        <f>24500*4</f>
        <v>98000</v>
      </c>
      <c r="H266" s="11">
        <f>108000+234000+240000+210900+212000</f>
        <v>1004900</v>
      </c>
      <c r="I266" s="35">
        <v>0</v>
      </c>
      <c r="J266" s="36">
        <f t="shared" ref="J266:J329" si="8">+F266+G266+H266+I266</f>
        <v>1582900</v>
      </c>
    </row>
    <row r="267" spans="1:10" ht="31.25">
      <c r="A267" s="32">
        <v>258</v>
      </c>
      <c r="B267" s="33" t="s">
        <v>495</v>
      </c>
      <c r="C267" s="34" t="s">
        <v>196</v>
      </c>
      <c r="D267" s="34" t="s">
        <v>496</v>
      </c>
      <c r="E267" s="34">
        <v>6</v>
      </c>
      <c r="F267" s="35">
        <v>680000</v>
      </c>
      <c r="G267" s="11">
        <f>24500*6</f>
        <v>147000</v>
      </c>
      <c r="H267" s="11">
        <v>0</v>
      </c>
      <c r="I267" s="35">
        <v>0</v>
      </c>
      <c r="J267" s="36">
        <f t="shared" si="8"/>
        <v>827000</v>
      </c>
    </row>
    <row r="268" spans="1:10" ht="31.25">
      <c r="A268" s="32">
        <v>259</v>
      </c>
      <c r="B268" s="33" t="s">
        <v>609</v>
      </c>
      <c r="C268" s="34" t="s">
        <v>81</v>
      </c>
      <c r="D268" s="34" t="s">
        <v>492</v>
      </c>
      <c r="E268" s="34">
        <v>4</v>
      </c>
      <c r="F268" s="35">
        <f>180000+200000+200000</f>
        <v>580000</v>
      </c>
      <c r="G268" s="11">
        <f>24500*4</f>
        <v>98000</v>
      </c>
      <c r="H268" s="11">
        <v>0</v>
      </c>
      <c r="I268" s="35">
        <v>0</v>
      </c>
      <c r="J268" s="36">
        <f t="shared" si="8"/>
        <v>678000</v>
      </c>
    </row>
    <row r="269" spans="1:10" ht="31.25">
      <c r="A269" s="32">
        <v>260</v>
      </c>
      <c r="B269" s="33" t="s">
        <v>497</v>
      </c>
      <c r="C269" s="34" t="s">
        <v>81</v>
      </c>
      <c r="D269" s="34" t="s">
        <v>498</v>
      </c>
      <c r="E269" s="34">
        <v>4</v>
      </c>
      <c r="F269" s="35">
        <v>0</v>
      </c>
      <c r="G269" s="11">
        <f>24500*4</f>
        <v>98000</v>
      </c>
      <c r="H269" s="11">
        <f>158320*2</f>
        <v>316640</v>
      </c>
      <c r="I269" s="35">
        <v>0</v>
      </c>
      <c r="J269" s="36">
        <f t="shared" si="8"/>
        <v>414640</v>
      </c>
    </row>
    <row r="270" spans="1:10" ht="31.25">
      <c r="A270" s="32">
        <v>261</v>
      </c>
      <c r="B270" s="33" t="s">
        <v>499</v>
      </c>
      <c r="C270" s="34" t="s">
        <v>196</v>
      </c>
      <c r="D270" s="34" t="s">
        <v>500</v>
      </c>
      <c r="E270" s="34">
        <v>5</v>
      </c>
      <c r="F270" s="35">
        <v>680000</v>
      </c>
      <c r="G270" s="11">
        <f>24500*5</f>
        <v>122500</v>
      </c>
      <c r="H270" s="11">
        <v>0</v>
      </c>
      <c r="I270" s="35">
        <v>0</v>
      </c>
      <c r="J270" s="36">
        <f t="shared" si="8"/>
        <v>802500</v>
      </c>
    </row>
    <row r="271" spans="1:10" ht="31.25">
      <c r="A271" s="32">
        <v>262</v>
      </c>
      <c r="B271" s="33" t="s">
        <v>541</v>
      </c>
      <c r="C271" s="34" t="s">
        <v>131</v>
      </c>
      <c r="D271" s="34" t="s">
        <v>501</v>
      </c>
      <c r="E271" s="34">
        <v>8</v>
      </c>
      <c r="F271" s="35">
        <v>600000</v>
      </c>
      <c r="G271" s="11">
        <f>22300*4</f>
        <v>89200</v>
      </c>
      <c r="H271" s="11">
        <f>200000+138500</f>
        <v>338500</v>
      </c>
      <c r="I271" s="35">
        <v>0</v>
      </c>
      <c r="J271" s="36">
        <f t="shared" si="8"/>
        <v>1027700</v>
      </c>
    </row>
    <row r="272" spans="1:10" ht="46.9">
      <c r="A272" s="32">
        <v>263</v>
      </c>
      <c r="B272" s="33" t="s">
        <v>502</v>
      </c>
      <c r="C272" s="34" t="s">
        <v>503</v>
      </c>
      <c r="D272" s="34" t="s">
        <v>504</v>
      </c>
      <c r="E272" s="34">
        <v>4</v>
      </c>
      <c r="F272" s="35">
        <f>700000+350000</f>
        <v>1050000</v>
      </c>
      <c r="G272" s="11">
        <f>24500*4</f>
        <v>98000</v>
      </c>
      <c r="H272" s="11">
        <v>0</v>
      </c>
      <c r="I272" s="35">
        <v>0</v>
      </c>
      <c r="J272" s="36">
        <f t="shared" si="8"/>
        <v>1148000</v>
      </c>
    </row>
    <row r="273" spans="1:10" ht="31.25">
      <c r="A273" s="32">
        <v>264</v>
      </c>
      <c r="B273" s="33" t="s">
        <v>505</v>
      </c>
      <c r="C273" s="34" t="s">
        <v>506</v>
      </c>
      <c r="D273" s="34" t="s">
        <v>507</v>
      </c>
      <c r="E273" s="34">
        <v>6</v>
      </c>
      <c r="F273" s="35">
        <v>276000</v>
      </c>
      <c r="G273" s="35">
        <f>22300*6</f>
        <v>133800</v>
      </c>
      <c r="H273" s="11">
        <v>0</v>
      </c>
      <c r="I273" s="35">
        <v>684876</v>
      </c>
      <c r="J273" s="36">
        <f t="shared" si="8"/>
        <v>1094676</v>
      </c>
    </row>
    <row r="274" spans="1:10" ht="31.25">
      <c r="A274" s="32">
        <v>265</v>
      </c>
      <c r="B274" s="33" t="s">
        <v>508</v>
      </c>
      <c r="C274" s="34" t="s">
        <v>252</v>
      </c>
      <c r="D274" s="34" t="s">
        <v>509</v>
      </c>
      <c r="E274" s="34">
        <v>5</v>
      </c>
      <c r="F274" s="35">
        <v>0</v>
      </c>
      <c r="G274" s="11">
        <f>24500*5</f>
        <v>122500</v>
      </c>
      <c r="H274" s="11">
        <v>0</v>
      </c>
      <c r="I274" s="35">
        <v>0</v>
      </c>
      <c r="J274" s="36">
        <f t="shared" si="8"/>
        <v>122500</v>
      </c>
    </row>
    <row r="275" spans="1:10" ht="31.25">
      <c r="A275" s="32">
        <v>266</v>
      </c>
      <c r="B275" s="33" t="s">
        <v>510</v>
      </c>
      <c r="C275" s="34" t="s">
        <v>511</v>
      </c>
      <c r="D275" s="34" t="s">
        <v>512</v>
      </c>
      <c r="E275" s="34">
        <v>3</v>
      </c>
      <c r="F275" s="35">
        <v>0</v>
      </c>
      <c r="G275" s="11">
        <f>24500*3</f>
        <v>73500</v>
      </c>
      <c r="H275" s="11">
        <v>0</v>
      </c>
      <c r="I275" s="35">
        <v>0</v>
      </c>
      <c r="J275" s="36">
        <f t="shared" si="8"/>
        <v>73500</v>
      </c>
    </row>
    <row r="276" spans="1:10" ht="31.25">
      <c r="A276" s="32">
        <v>267</v>
      </c>
      <c r="B276" s="33" t="s">
        <v>505</v>
      </c>
      <c r="C276" s="34" t="s">
        <v>506</v>
      </c>
      <c r="D276" s="34" t="s">
        <v>507</v>
      </c>
      <c r="E276" s="34">
        <v>6</v>
      </c>
      <c r="F276" s="35">
        <v>230000</v>
      </c>
      <c r="G276" s="11">
        <f>22300*6</f>
        <v>133800</v>
      </c>
      <c r="H276" s="11">
        <v>0</v>
      </c>
      <c r="I276" s="35">
        <v>0</v>
      </c>
      <c r="J276" s="36">
        <f t="shared" si="8"/>
        <v>363800</v>
      </c>
    </row>
    <row r="277" spans="1:10" ht="31.25">
      <c r="A277" s="32">
        <v>268</v>
      </c>
      <c r="B277" s="33" t="s">
        <v>510</v>
      </c>
      <c r="C277" s="34" t="s">
        <v>513</v>
      </c>
      <c r="D277" s="34" t="s">
        <v>514</v>
      </c>
      <c r="E277" s="34">
        <v>3</v>
      </c>
      <c r="F277" s="35">
        <v>0</v>
      </c>
      <c r="G277" s="11">
        <f>24500*3</f>
        <v>73500</v>
      </c>
      <c r="H277" s="11">
        <v>0</v>
      </c>
      <c r="I277" s="35">
        <v>0</v>
      </c>
      <c r="J277" s="36">
        <f t="shared" si="8"/>
        <v>73500</v>
      </c>
    </row>
    <row r="278" spans="1:10" ht="46.9">
      <c r="A278" s="32">
        <v>269</v>
      </c>
      <c r="B278" s="33" t="s">
        <v>502</v>
      </c>
      <c r="C278" s="34" t="s">
        <v>503</v>
      </c>
      <c r="D278" s="34" t="s">
        <v>504</v>
      </c>
      <c r="E278" s="34">
        <v>4</v>
      </c>
      <c r="F278" s="35">
        <v>0</v>
      </c>
      <c r="G278" s="11">
        <f>24500*4</f>
        <v>98000</v>
      </c>
      <c r="H278" s="11">
        <v>0</v>
      </c>
      <c r="I278" s="35">
        <v>0</v>
      </c>
      <c r="J278" s="36">
        <f t="shared" si="8"/>
        <v>98000</v>
      </c>
    </row>
    <row r="279" spans="1:10" ht="31.25">
      <c r="A279" s="32">
        <v>270</v>
      </c>
      <c r="B279" s="33" t="s">
        <v>515</v>
      </c>
      <c r="C279" s="34" t="s">
        <v>516</v>
      </c>
      <c r="D279" s="34" t="s">
        <v>517</v>
      </c>
      <c r="E279" s="34">
        <v>5</v>
      </c>
      <c r="F279" s="35">
        <v>0</v>
      </c>
      <c r="G279" s="11">
        <f>22300*5</f>
        <v>111500</v>
      </c>
      <c r="H279" s="11">
        <v>0</v>
      </c>
      <c r="I279" s="35">
        <v>0</v>
      </c>
      <c r="J279" s="36">
        <f t="shared" si="8"/>
        <v>111500</v>
      </c>
    </row>
    <row r="280" spans="1:10" ht="31.25">
      <c r="A280" s="32">
        <v>271</v>
      </c>
      <c r="B280" s="33" t="s">
        <v>505</v>
      </c>
      <c r="C280" s="34" t="s">
        <v>506</v>
      </c>
      <c r="D280" s="34" t="s">
        <v>507</v>
      </c>
      <c r="E280" s="34">
        <v>6</v>
      </c>
      <c r="F280" s="35">
        <v>230000</v>
      </c>
      <c r="G280" s="11">
        <f>22300*6</f>
        <v>133800</v>
      </c>
      <c r="H280" s="11">
        <v>0</v>
      </c>
      <c r="I280" s="35">
        <v>684876</v>
      </c>
      <c r="J280" s="36">
        <f t="shared" si="8"/>
        <v>1048676</v>
      </c>
    </row>
    <row r="281" spans="1:10" ht="31.25">
      <c r="A281" s="32">
        <v>272</v>
      </c>
      <c r="B281" s="33" t="s">
        <v>508</v>
      </c>
      <c r="C281" s="34" t="s">
        <v>252</v>
      </c>
      <c r="D281" s="34" t="s">
        <v>509</v>
      </c>
      <c r="E281" s="34">
        <v>5</v>
      </c>
      <c r="F281" s="35">
        <v>0</v>
      </c>
      <c r="G281" s="11">
        <f>24500*5</f>
        <v>122500</v>
      </c>
      <c r="H281" s="11">
        <v>0</v>
      </c>
      <c r="I281" s="35">
        <v>0</v>
      </c>
      <c r="J281" s="36">
        <f t="shared" si="8"/>
        <v>122500</v>
      </c>
    </row>
    <row r="282" spans="1:10" ht="31.25">
      <c r="A282" s="32">
        <v>273</v>
      </c>
      <c r="B282" s="33" t="s">
        <v>535</v>
      </c>
      <c r="C282" s="34" t="s">
        <v>196</v>
      </c>
      <c r="D282" s="34" t="s">
        <v>518</v>
      </c>
      <c r="E282" s="34">
        <v>2</v>
      </c>
      <c r="F282" s="35">
        <v>0</v>
      </c>
      <c r="G282" s="11">
        <f>22300*2</f>
        <v>44600</v>
      </c>
      <c r="H282" s="11">
        <v>0</v>
      </c>
      <c r="I282" s="35">
        <v>0</v>
      </c>
      <c r="J282" s="36">
        <f t="shared" si="8"/>
        <v>44600</v>
      </c>
    </row>
    <row r="283" spans="1:10">
      <c r="A283" s="32">
        <v>274</v>
      </c>
      <c r="B283" s="33">
        <v>44230</v>
      </c>
      <c r="C283" s="34" t="s">
        <v>513</v>
      </c>
      <c r="D283" s="34" t="s">
        <v>519</v>
      </c>
      <c r="E283" s="34">
        <v>1</v>
      </c>
      <c r="F283" s="35">
        <v>0</v>
      </c>
      <c r="G283" s="11">
        <v>24500</v>
      </c>
      <c r="H283" s="11">
        <f>204000*2</f>
        <v>408000</v>
      </c>
      <c r="I283" s="35">
        <v>0</v>
      </c>
      <c r="J283" s="36">
        <f t="shared" si="8"/>
        <v>432500</v>
      </c>
    </row>
    <row r="284" spans="1:10" ht="31.25">
      <c r="A284" s="32">
        <v>275</v>
      </c>
      <c r="B284" s="33" t="s">
        <v>610</v>
      </c>
      <c r="C284" s="34" t="s">
        <v>513</v>
      </c>
      <c r="D284" s="34" t="s">
        <v>520</v>
      </c>
      <c r="E284" s="34">
        <v>2</v>
      </c>
      <c r="F284" s="35">
        <v>0</v>
      </c>
      <c r="G284" s="11">
        <f>22300*2</f>
        <v>44600</v>
      </c>
      <c r="H284" s="11">
        <f>204000*2</f>
        <v>408000</v>
      </c>
      <c r="I284" s="35">
        <v>0</v>
      </c>
      <c r="J284" s="36">
        <f t="shared" si="8"/>
        <v>452600</v>
      </c>
    </row>
    <row r="285" spans="1:10" ht="31.25">
      <c r="A285" s="32">
        <v>276</v>
      </c>
      <c r="B285" s="33" t="s">
        <v>521</v>
      </c>
      <c r="C285" s="34" t="s">
        <v>522</v>
      </c>
      <c r="D285" s="34" t="s">
        <v>523</v>
      </c>
      <c r="E285" s="34">
        <v>8</v>
      </c>
      <c r="F285" s="35">
        <v>0</v>
      </c>
      <c r="G285" s="11">
        <f>22300*8</f>
        <v>178400</v>
      </c>
      <c r="H285" s="11">
        <v>0</v>
      </c>
      <c r="I285" s="35">
        <f>545364+1293654</f>
        <v>1839018</v>
      </c>
      <c r="J285" s="36">
        <f t="shared" si="8"/>
        <v>2017418</v>
      </c>
    </row>
    <row r="286" spans="1:10" ht="31.25">
      <c r="A286" s="32">
        <v>277</v>
      </c>
      <c r="B286" s="33" t="s">
        <v>524</v>
      </c>
      <c r="C286" s="34" t="s">
        <v>131</v>
      </c>
      <c r="D286" s="34" t="s">
        <v>525</v>
      </c>
      <c r="E286" s="34">
        <v>4</v>
      </c>
      <c r="F286" s="35">
        <f>150000*3</f>
        <v>450000</v>
      </c>
      <c r="G286" s="11">
        <f>24500*4</f>
        <v>98000</v>
      </c>
      <c r="H286" s="11">
        <v>100000</v>
      </c>
      <c r="I286" s="35">
        <v>0</v>
      </c>
      <c r="J286" s="36">
        <f t="shared" si="8"/>
        <v>648000</v>
      </c>
    </row>
    <row r="287" spans="1:10" ht="31.25">
      <c r="A287" s="32">
        <v>278</v>
      </c>
      <c r="B287" s="33" t="s">
        <v>526</v>
      </c>
      <c r="C287" s="34" t="s">
        <v>527</v>
      </c>
      <c r="D287" s="34" t="s">
        <v>528</v>
      </c>
      <c r="E287" s="34">
        <v>4</v>
      </c>
      <c r="F287" s="35">
        <v>500000</v>
      </c>
      <c r="G287" s="11">
        <f>24500*4</f>
        <v>98000</v>
      </c>
      <c r="H287" s="11">
        <v>79590</v>
      </c>
      <c r="I287" s="35">
        <v>0</v>
      </c>
      <c r="J287" s="36">
        <f t="shared" si="8"/>
        <v>677590</v>
      </c>
    </row>
    <row r="288" spans="1:10" ht="31.25">
      <c r="A288" s="32">
        <v>279</v>
      </c>
      <c r="B288" s="33" t="s">
        <v>611</v>
      </c>
      <c r="C288" s="34" t="s">
        <v>484</v>
      </c>
      <c r="D288" s="34" t="s">
        <v>529</v>
      </c>
      <c r="E288" s="34">
        <v>5</v>
      </c>
      <c r="F288" s="35">
        <v>850000</v>
      </c>
      <c r="G288" s="11">
        <f>24500*5</f>
        <v>122500</v>
      </c>
      <c r="H288" s="11">
        <v>0</v>
      </c>
      <c r="I288" s="35">
        <v>191913</v>
      </c>
      <c r="J288" s="36">
        <f t="shared" si="8"/>
        <v>1164413</v>
      </c>
    </row>
    <row r="289" spans="1:10" ht="31.25">
      <c r="A289" s="32">
        <v>280</v>
      </c>
      <c r="B289" s="33" t="s">
        <v>611</v>
      </c>
      <c r="C289" s="34" t="s">
        <v>484</v>
      </c>
      <c r="D289" s="34" t="s">
        <v>529</v>
      </c>
      <c r="E289" s="34">
        <v>5</v>
      </c>
      <c r="F289" s="35">
        <v>750000</v>
      </c>
      <c r="G289" s="11">
        <f>24500*5</f>
        <v>122500</v>
      </c>
      <c r="H289" s="11">
        <v>0</v>
      </c>
      <c r="I289" s="35">
        <f>191913</f>
        <v>191913</v>
      </c>
      <c r="J289" s="36">
        <f t="shared" si="8"/>
        <v>1064413</v>
      </c>
    </row>
    <row r="290" spans="1:10" ht="31.25">
      <c r="A290" s="32">
        <v>281</v>
      </c>
      <c r="B290" s="33">
        <v>44230</v>
      </c>
      <c r="C290" s="34" t="s">
        <v>252</v>
      </c>
      <c r="D290" s="34" t="s">
        <v>530</v>
      </c>
      <c r="E290" s="34">
        <v>1</v>
      </c>
      <c r="F290" s="35">
        <v>350000</v>
      </c>
      <c r="G290" s="11">
        <v>24500</v>
      </c>
      <c r="H290" s="11">
        <v>0</v>
      </c>
      <c r="I290" s="35">
        <v>0</v>
      </c>
      <c r="J290" s="36">
        <f t="shared" si="8"/>
        <v>374500</v>
      </c>
    </row>
    <row r="291" spans="1:10" ht="31.25">
      <c r="A291" s="32">
        <v>282</v>
      </c>
      <c r="B291" s="33" t="s">
        <v>611</v>
      </c>
      <c r="C291" s="34" t="s">
        <v>484</v>
      </c>
      <c r="D291" s="34" t="s">
        <v>529</v>
      </c>
      <c r="E291" s="34">
        <v>5</v>
      </c>
      <c r="F291" s="35">
        <v>850000</v>
      </c>
      <c r="G291" s="11">
        <f>24500*5</f>
        <v>122500</v>
      </c>
      <c r="H291" s="11">
        <v>0</v>
      </c>
      <c r="I291" s="35">
        <v>191913</v>
      </c>
      <c r="J291" s="36">
        <f t="shared" si="8"/>
        <v>1164413</v>
      </c>
    </row>
    <row r="292" spans="1:10" ht="31.25">
      <c r="A292" s="32">
        <v>283</v>
      </c>
      <c r="B292" s="33" t="s">
        <v>531</v>
      </c>
      <c r="C292" s="34" t="s">
        <v>252</v>
      </c>
      <c r="D292" s="34" t="s">
        <v>530</v>
      </c>
      <c r="E292" s="34">
        <v>2</v>
      </c>
      <c r="F292" s="35">
        <v>350000</v>
      </c>
      <c r="G292" s="11">
        <f>24500*2</f>
        <v>49000</v>
      </c>
      <c r="H292" s="11">
        <v>0</v>
      </c>
      <c r="I292" s="35">
        <v>0</v>
      </c>
      <c r="J292" s="36">
        <f t="shared" si="8"/>
        <v>399000</v>
      </c>
    </row>
    <row r="293" spans="1:10" ht="31.25">
      <c r="A293" s="32">
        <v>284</v>
      </c>
      <c r="B293" s="33" t="s">
        <v>532</v>
      </c>
      <c r="C293" s="34" t="s">
        <v>533</v>
      </c>
      <c r="D293" s="34" t="s">
        <v>534</v>
      </c>
      <c r="E293" s="34">
        <v>9</v>
      </c>
      <c r="F293" s="35">
        <v>1600000</v>
      </c>
      <c r="G293" s="11">
        <f>22300*9</f>
        <v>200700</v>
      </c>
      <c r="H293" s="11">
        <f>330000+287000</f>
        <v>617000</v>
      </c>
      <c r="I293" s="35">
        <v>0</v>
      </c>
      <c r="J293" s="36">
        <f t="shared" si="8"/>
        <v>2417700</v>
      </c>
    </row>
    <row r="294" spans="1:10" ht="31.25">
      <c r="A294" s="32">
        <v>285</v>
      </c>
      <c r="B294" s="33" t="s">
        <v>535</v>
      </c>
      <c r="C294" s="34" t="s">
        <v>196</v>
      </c>
      <c r="D294" s="34" t="s">
        <v>518</v>
      </c>
      <c r="E294" s="34">
        <v>2</v>
      </c>
      <c r="F294" s="35">
        <v>0</v>
      </c>
      <c r="G294" s="11">
        <f>22300*2</f>
        <v>44600</v>
      </c>
      <c r="H294" s="11">
        <f>290000+193000</f>
        <v>483000</v>
      </c>
      <c r="I294" s="35">
        <v>0</v>
      </c>
      <c r="J294" s="36">
        <f t="shared" si="8"/>
        <v>527600</v>
      </c>
    </row>
    <row r="295" spans="1:10" ht="31.25">
      <c r="A295" s="32">
        <v>286</v>
      </c>
      <c r="B295" s="33" t="s">
        <v>536</v>
      </c>
      <c r="C295" s="34" t="s">
        <v>107</v>
      </c>
      <c r="D295" s="34" t="s">
        <v>534</v>
      </c>
      <c r="E295" s="34">
        <v>15</v>
      </c>
      <c r="F295" s="35">
        <f>1050000+1380000</f>
        <v>2430000</v>
      </c>
      <c r="G295" s="11">
        <f>22300*15</f>
        <v>334500</v>
      </c>
      <c r="H295" s="11">
        <f>195350*2</f>
        <v>390700</v>
      </c>
      <c r="I295" s="35">
        <v>0</v>
      </c>
      <c r="J295" s="36">
        <f t="shared" si="8"/>
        <v>3155200</v>
      </c>
    </row>
    <row r="296" spans="1:10" ht="31.25">
      <c r="A296" s="32">
        <v>287</v>
      </c>
      <c r="B296" s="33" t="s">
        <v>612</v>
      </c>
      <c r="C296" s="34" t="s">
        <v>231</v>
      </c>
      <c r="D296" s="34" t="s">
        <v>529</v>
      </c>
      <c r="E296" s="34">
        <v>6</v>
      </c>
      <c r="F296" s="35">
        <v>925000</v>
      </c>
      <c r="G296" s="11">
        <f>24500*6</f>
        <v>147000</v>
      </c>
      <c r="H296" s="11">
        <v>0</v>
      </c>
      <c r="I296" s="35">
        <v>0</v>
      </c>
      <c r="J296" s="36">
        <f t="shared" si="8"/>
        <v>1072000</v>
      </c>
    </row>
    <row r="297" spans="1:10" ht="31.25">
      <c r="A297" s="32">
        <v>288</v>
      </c>
      <c r="B297" s="33" t="s">
        <v>613</v>
      </c>
      <c r="C297" s="34" t="s">
        <v>252</v>
      </c>
      <c r="D297" s="34" t="s">
        <v>530</v>
      </c>
      <c r="E297" s="34">
        <v>3</v>
      </c>
      <c r="F297" s="35">
        <f>200000+528000</f>
        <v>728000</v>
      </c>
      <c r="G297" s="11">
        <f>24500*3</f>
        <v>73500</v>
      </c>
      <c r="H297" s="11">
        <v>0</v>
      </c>
      <c r="I297" s="35">
        <v>0</v>
      </c>
      <c r="J297" s="36">
        <f t="shared" si="8"/>
        <v>801500</v>
      </c>
    </row>
    <row r="298" spans="1:10" ht="31.25">
      <c r="A298" s="32">
        <v>289</v>
      </c>
      <c r="B298" s="33" t="s">
        <v>537</v>
      </c>
      <c r="C298" s="34" t="s">
        <v>252</v>
      </c>
      <c r="D298" s="34" t="s">
        <v>538</v>
      </c>
      <c r="E298" s="34">
        <v>2</v>
      </c>
      <c r="F298" s="35">
        <v>260000</v>
      </c>
      <c r="G298" s="11">
        <f>24500*2</f>
        <v>49000</v>
      </c>
      <c r="H298" s="11">
        <v>0</v>
      </c>
      <c r="I298" s="35">
        <v>0</v>
      </c>
      <c r="J298" s="36">
        <f t="shared" si="8"/>
        <v>309000</v>
      </c>
    </row>
    <row r="299" spans="1:10" ht="31.25">
      <c r="A299" s="32">
        <v>290</v>
      </c>
      <c r="B299" s="33" t="s">
        <v>539</v>
      </c>
      <c r="C299" s="34" t="s">
        <v>164</v>
      </c>
      <c r="D299" s="34" t="s">
        <v>534</v>
      </c>
      <c r="E299" s="34">
        <v>16</v>
      </c>
      <c r="F299" s="35">
        <f>900000+1380000+200000</f>
        <v>2480000</v>
      </c>
      <c r="G299" s="11">
        <f>22300*16</f>
        <v>356800</v>
      </c>
      <c r="H299" s="11">
        <f>70220+195350+200000+300000</f>
        <v>765570</v>
      </c>
      <c r="I299" s="35">
        <v>0</v>
      </c>
      <c r="J299" s="36">
        <f t="shared" si="8"/>
        <v>3602370</v>
      </c>
    </row>
    <row r="300" spans="1:10" ht="31.25">
      <c r="A300" s="32">
        <v>291</v>
      </c>
      <c r="B300" s="33" t="s">
        <v>540</v>
      </c>
      <c r="C300" s="34" t="s">
        <v>252</v>
      </c>
      <c r="D300" s="34" t="s">
        <v>538</v>
      </c>
      <c r="E300" s="34">
        <v>15</v>
      </c>
      <c r="F300" s="35">
        <v>2080000</v>
      </c>
      <c r="G300" s="11">
        <f>24500*15</f>
        <v>367500</v>
      </c>
      <c r="H300" s="11">
        <v>200000</v>
      </c>
      <c r="I300" s="35">
        <v>0</v>
      </c>
      <c r="J300" s="36">
        <f t="shared" si="8"/>
        <v>2647500</v>
      </c>
    </row>
    <row r="301" spans="1:10" ht="31.25">
      <c r="A301" s="32">
        <v>292</v>
      </c>
      <c r="B301" s="33" t="s">
        <v>541</v>
      </c>
      <c r="C301" s="34" t="s">
        <v>131</v>
      </c>
      <c r="D301" s="34" t="s">
        <v>542</v>
      </c>
      <c r="E301" s="34">
        <v>8</v>
      </c>
      <c r="F301" s="35">
        <v>600000</v>
      </c>
      <c r="G301" s="11">
        <f>24500*5</f>
        <v>122500</v>
      </c>
      <c r="H301" s="11">
        <f>138500+133140</f>
        <v>271640</v>
      </c>
      <c r="I301" s="35">
        <v>0</v>
      </c>
      <c r="J301" s="36">
        <f t="shared" si="8"/>
        <v>994140</v>
      </c>
    </row>
    <row r="302" spans="1:10" ht="31.25">
      <c r="A302" s="32">
        <v>293</v>
      </c>
      <c r="B302" s="33" t="s">
        <v>543</v>
      </c>
      <c r="C302" s="34" t="s">
        <v>252</v>
      </c>
      <c r="D302" s="34" t="s">
        <v>544</v>
      </c>
      <c r="E302" s="34">
        <v>9</v>
      </c>
      <c r="F302" s="35">
        <v>2080000</v>
      </c>
      <c r="G302" s="11">
        <f>22300*9</f>
        <v>200700</v>
      </c>
      <c r="H302" s="11">
        <v>200000</v>
      </c>
      <c r="I302" s="35">
        <v>0</v>
      </c>
      <c r="J302" s="36">
        <f t="shared" si="8"/>
        <v>2480700</v>
      </c>
    </row>
    <row r="303" spans="1:10" ht="31.25">
      <c r="A303" s="32">
        <v>294</v>
      </c>
      <c r="B303" s="33" t="s">
        <v>545</v>
      </c>
      <c r="C303" s="34" t="s">
        <v>522</v>
      </c>
      <c r="D303" s="34" t="s">
        <v>534</v>
      </c>
      <c r="E303" s="34">
        <v>7</v>
      </c>
      <c r="F303" s="35">
        <v>1380000</v>
      </c>
      <c r="G303" s="11">
        <f>22300*7</f>
        <v>156100</v>
      </c>
      <c r="H303" s="11">
        <f>195350+140290</f>
        <v>335640</v>
      </c>
      <c r="I303" s="35">
        <v>0</v>
      </c>
      <c r="J303" s="36">
        <f t="shared" si="8"/>
        <v>1871740</v>
      </c>
    </row>
    <row r="304" spans="1:10" ht="31.25">
      <c r="A304" s="32">
        <v>295</v>
      </c>
      <c r="B304" s="33" t="s">
        <v>546</v>
      </c>
      <c r="C304" s="34" t="s">
        <v>107</v>
      </c>
      <c r="D304" s="34" t="s">
        <v>534</v>
      </c>
      <c r="E304" s="34">
        <v>8</v>
      </c>
      <c r="F304" s="35">
        <v>950000</v>
      </c>
      <c r="G304" s="11">
        <f>22300*8</f>
        <v>178400</v>
      </c>
      <c r="H304" s="11">
        <v>0</v>
      </c>
      <c r="I304" s="35">
        <v>0</v>
      </c>
      <c r="J304" s="36">
        <f t="shared" si="8"/>
        <v>1128400</v>
      </c>
    </row>
    <row r="305" spans="1:10" ht="31.25">
      <c r="A305" s="32">
        <v>296</v>
      </c>
      <c r="B305" s="33" t="s">
        <v>547</v>
      </c>
      <c r="C305" s="34" t="s">
        <v>231</v>
      </c>
      <c r="D305" s="34" t="s">
        <v>548</v>
      </c>
      <c r="E305" s="34">
        <v>9</v>
      </c>
      <c r="F305" s="35">
        <f>320000+300000+207000</f>
        <v>827000</v>
      </c>
      <c r="G305" s="11">
        <f>73500+133800</f>
        <v>207300</v>
      </c>
      <c r="H305" s="11">
        <f>259000+277000+250000+194000+273400+180000+333000+255000+223000+442000</f>
        <v>2686400</v>
      </c>
      <c r="I305" s="35">
        <v>0</v>
      </c>
      <c r="J305" s="36">
        <f t="shared" si="8"/>
        <v>3720700</v>
      </c>
    </row>
    <row r="306" spans="1:10" ht="31.25">
      <c r="A306" s="32">
        <v>297</v>
      </c>
      <c r="B306" s="33" t="s">
        <v>495</v>
      </c>
      <c r="C306" s="34" t="s">
        <v>196</v>
      </c>
      <c r="D306" s="34" t="s">
        <v>549</v>
      </c>
      <c r="E306" s="34">
        <v>10</v>
      </c>
      <c r="F306" s="35">
        <v>680000</v>
      </c>
      <c r="G306" s="11">
        <f>24500*6</f>
        <v>147000</v>
      </c>
      <c r="H306" s="11">
        <v>0</v>
      </c>
      <c r="I306" s="35">
        <v>0</v>
      </c>
      <c r="J306" s="36">
        <f t="shared" si="8"/>
        <v>827000</v>
      </c>
    </row>
    <row r="307" spans="1:10" ht="31.25">
      <c r="A307" s="32">
        <v>298</v>
      </c>
      <c r="B307" s="33" t="s">
        <v>547</v>
      </c>
      <c r="C307" s="34" t="s">
        <v>231</v>
      </c>
      <c r="D307" s="34" t="s">
        <v>549</v>
      </c>
      <c r="E307" s="34">
        <v>9</v>
      </c>
      <c r="F307" s="35">
        <f>300000+320000+207000</f>
        <v>827000</v>
      </c>
      <c r="G307" s="11">
        <f>133800+73500</f>
        <v>207300</v>
      </c>
      <c r="H307" s="11">
        <v>0</v>
      </c>
      <c r="I307" s="35">
        <v>0</v>
      </c>
      <c r="J307" s="36">
        <f t="shared" si="8"/>
        <v>1034300</v>
      </c>
    </row>
    <row r="308" spans="1:10" ht="31.25">
      <c r="A308" s="32">
        <v>299</v>
      </c>
      <c r="B308" s="33" t="s">
        <v>550</v>
      </c>
      <c r="C308" s="34" t="s">
        <v>147</v>
      </c>
      <c r="D308" s="34" t="s">
        <v>551</v>
      </c>
      <c r="E308" s="34">
        <v>4</v>
      </c>
      <c r="F308" s="35">
        <f>150000+150000+300000</f>
        <v>600000</v>
      </c>
      <c r="G308" s="11">
        <f>22300*4</f>
        <v>89200</v>
      </c>
      <c r="H308" s="11">
        <f>120570+100000</f>
        <v>220570</v>
      </c>
      <c r="I308" s="35">
        <v>0</v>
      </c>
      <c r="J308" s="36">
        <f t="shared" si="8"/>
        <v>909770</v>
      </c>
    </row>
    <row r="309" spans="1:10" ht="31.25">
      <c r="A309" s="32">
        <v>300</v>
      </c>
      <c r="B309" s="33" t="s">
        <v>552</v>
      </c>
      <c r="C309" s="34" t="s">
        <v>522</v>
      </c>
      <c r="D309" s="34" t="s">
        <v>534</v>
      </c>
      <c r="E309" s="34">
        <v>4</v>
      </c>
      <c r="F309" s="35">
        <v>552000</v>
      </c>
      <c r="G309" s="11">
        <f>22300*4</f>
        <v>89200</v>
      </c>
      <c r="H309" s="11">
        <f>150000*2</f>
        <v>300000</v>
      </c>
      <c r="I309" s="35">
        <v>0</v>
      </c>
      <c r="J309" s="36">
        <f t="shared" si="8"/>
        <v>941200</v>
      </c>
    </row>
    <row r="310" spans="1:10" ht="31.25">
      <c r="A310" s="32">
        <v>301</v>
      </c>
      <c r="B310" s="33" t="s">
        <v>553</v>
      </c>
      <c r="C310" s="34" t="s">
        <v>533</v>
      </c>
      <c r="D310" s="34" t="s">
        <v>534</v>
      </c>
      <c r="E310" s="34">
        <v>10</v>
      </c>
      <c r="F310" s="35">
        <v>1500000</v>
      </c>
      <c r="G310" s="11">
        <f>22300*10</f>
        <v>223000</v>
      </c>
      <c r="H310" s="11">
        <v>100000</v>
      </c>
      <c r="I310" s="35">
        <v>0</v>
      </c>
      <c r="J310" s="36">
        <f t="shared" si="8"/>
        <v>1823000</v>
      </c>
    </row>
    <row r="311" spans="1:10" ht="31.25">
      <c r="A311" s="32">
        <v>302</v>
      </c>
      <c r="B311" s="33" t="s">
        <v>554</v>
      </c>
      <c r="C311" s="34" t="s">
        <v>81</v>
      </c>
      <c r="D311" s="34" t="s">
        <v>555</v>
      </c>
      <c r="E311" s="34">
        <v>2</v>
      </c>
      <c r="F311" s="35">
        <v>500000</v>
      </c>
      <c r="G311" s="11">
        <f>22300*2</f>
        <v>44600</v>
      </c>
      <c r="H311" s="11">
        <f>165000+350000+284829+120000</f>
        <v>919829</v>
      </c>
      <c r="I311" s="35">
        <v>0</v>
      </c>
      <c r="J311" s="36">
        <f t="shared" si="8"/>
        <v>1464429</v>
      </c>
    </row>
    <row r="312" spans="1:10" ht="31.25">
      <c r="A312" s="32">
        <v>303</v>
      </c>
      <c r="B312" s="33" t="s">
        <v>552</v>
      </c>
      <c r="C312" s="34" t="s">
        <v>81</v>
      </c>
      <c r="D312" s="34" t="s">
        <v>555</v>
      </c>
      <c r="E312" s="34">
        <v>4</v>
      </c>
      <c r="F312" s="35">
        <v>1800000</v>
      </c>
      <c r="G312" s="11">
        <f>22300*4</f>
        <v>89200</v>
      </c>
      <c r="H312" s="11">
        <f>301240+238000</f>
        <v>539240</v>
      </c>
      <c r="I312" s="35">
        <v>0</v>
      </c>
      <c r="J312" s="36">
        <f t="shared" si="8"/>
        <v>2428440</v>
      </c>
    </row>
    <row r="313" spans="1:10" ht="31.25">
      <c r="A313" s="32">
        <v>304</v>
      </c>
      <c r="B313" s="33" t="s">
        <v>556</v>
      </c>
      <c r="C313" s="34" t="s">
        <v>99</v>
      </c>
      <c r="D313" s="34" t="s">
        <v>557</v>
      </c>
      <c r="E313" s="34">
        <v>6</v>
      </c>
      <c r="F313" s="35">
        <f>1200000+240000</f>
        <v>1440000</v>
      </c>
      <c r="G313" s="11">
        <f>22300*6</f>
        <v>133800</v>
      </c>
      <c r="H313" s="35">
        <v>0</v>
      </c>
      <c r="I313" s="35">
        <v>0</v>
      </c>
      <c r="J313" s="36">
        <f t="shared" si="8"/>
        <v>1573800</v>
      </c>
    </row>
    <row r="314" spans="1:10" ht="31.25">
      <c r="A314" s="32">
        <v>305</v>
      </c>
      <c r="B314" s="33" t="s">
        <v>556</v>
      </c>
      <c r="C314" s="34" t="s">
        <v>99</v>
      </c>
      <c r="D314" s="34" t="s">
        <v>557</v>
      </c>
      <c r="E314" s="34">
        <v>6</v>
      </c>
      <c r="F314" s="35">
        <f>1200000+240000</f>
        <v>1440000</v>
      </c>
      <c r="G314" s="11">
        <f>22300*6</f>
        <v>133800</v>
      </c>
      <c r="H314" s="35">
        <v>0</v>
      </c>
      <c r="I314" s="35">
        <v>0</v>
      </c>
      <c r="J314" s="36">
        <f t="shared" si="8"/>
        <v>1573800</v>
      </c>
    </row>
    <row r="315" spans="1:10" ht="31.25">
      <c r="A315" s="32">
        <v>306</v>
      </c>
      <c r="B315" s="33" t="s">
        <v>558</v>
      </c>
      <c r="C315" s="34" t="s">
        <v>196</v>
      </c>
      <c r="D315" s="34" t="s">
        <v>500</v>
      </c>
      <c r="E315" s="34">
        <v>6</v>
      </c>
      <c r="F315" s="35">
        <v>680000</v>
      </c>
      <c r="G315" s="11">
        <f>24500*6</f>
        <v>147000</v>
      </c>
      <c r="H315" s="35">
        <v>0</v>
      </c>
      <c r="I315" s="35">
        <v>0</v>
      </c>
      <c r="J315" s="36">
        <f t="shared" si="8"/>
        <v>827000</v>
      </c>
    </row>
    <row r="316" spans="1:10" ht="31.25">
      <c r="A316" s="32">
        <v>307</v>
      </c>
      <c r="B316" s="33" t="s">
        <v>614</v>
      </c>
      <c r="C316" s="34" t="s">
        <v>179</v>
      </c>
      <c r="D316" s="34" t="s">
        <v>559</v>
      </c>
      <c r="E316" s="34">
        <v>4</v>
      </c>
      <c r="F316" s="35">
        <v>600000</v>
      </c>
      <c r="G316" s="11">
        <f>24500*4</f>
        <v>98000</v>
      </c>
      <c r="H316" s="11">
        <f>110730+105000</f>
        <v>215730</v>
      </c>
      <c r="I316" s="35">
        <v>0</v>
      </c>
      <c r="J316" s="36">
        <f t="shared" si="8"/>
        <v>913730</v>
      </c>
    </row>
    <row r="317" spans="1:10" ht="31.25">
      <c r="A317" s="32">
        <v>308</v>
      </c>
      <c r="B317" s="33" t="s">
        <v>581</v>
      </c>
      <c r="C317" s="34" t="s">
        <v>81</v>
      </c>
      <c r="D317" s="34" t="s">
        <v>560</v>
      </c>
      <c r="E317" s="34">
        <v>2</v>
      </c>
      <c r="F317" s="35">
        <v>300000</v>
      </c>
      <c r="G317" s="11">
        <f>22300*2</f>
        <v>44600</v>
      </c>
      <c r="H317" s="11">
        <f>238000+168000</f>
        <v>406000</v>
      </c>
      <c r="I317" s="35">
        <v>0</v>
      </c>
      <c r="J317" s="36">
        <f t="shared" si="8"/>
        <v>750600</v>
      </c>
    </row>
    <row r="318" spans="1:10" ht="31.25">
      <c r="A318" s="32">
        <v>309</v>
      </c>
      <c r="B318" s="33" t="s">
        <v>615</v>
      </c>
      <c r="C318" s="34" t="s">
        <v>99</v>
      </c>
      <c r="D318" s="34" t="s">
        <v>557</v>
      </c>
      <c r="E318" s="34">
        <v>3</v>
      </c>
      <c r="F318" s="35">
        <v>550000</v>
      </c>
      <c r="G318" s="11">
        <f>22300*6</f>
        <v>133800</v>
      </c>
      <c r="H318" s="35">
        <v>0</v>
      </c>
      <c r="I318" s="35">
        <v>0</v>
      </c>
      <c r="J318" s="36">
        <f t="shared" si="8"/>
        <v>683800</v>
      </c>
    </row>
    <row r="319" spans="1:10" ht="31.25">
      <c r="A319" s="32">
        <v>310</v>
      </c>
      <c r="B319" s="33" t="s">
        <v>616</v>
      </c>
      <c r="C319" s="34" t="s">
        <v>164</v>
      </c>
      <c r="D319" s="34" t="s">
        <v>561</v>
      </c>
      <c r="E319" s="34">
        <v>5</v>
      </c>
      <c r="F319" s="35">
        <v>525000</v>
      </c>
      <c r="G319" s="11">
        <f>24500*5</f>
        <v>122500</v>
      </c>
      <c r="H319" s="11">
        <f>94000+143500</f>
        <v>237500</v>
      </c>
      <c r="I319" s="35">
        <v>0</v>
      </c>
      <c r="J319" s="36">
        <f t="shared" si="8"/>
        <v>885000</v>
      </c>
    </row>
    <row r="320" spans="1:10" ht="31.25">
      <c r="A320" s="32">
        <v>312</v>
      </c>
      <c r="B320" s="33" t="s">
        <v>562</v>
      </c>
      <c r="C320" s="34" t="s">
        <v>164</v>
      </c>
      <c r="D320" s="34" t="s">
        <v>563</v>
      </c>
      <c r="E320" s="34">
        <v>5</v>
      </c>
      <c r="F320" s="35">
        <v>100000</v>
      </c>
      <c r="G320" s="11">
        <f>5*22300</f>
        <v>111500</v>
      </c>
      <c r="H320" s="11">
        <f>146000+146000</f>
        <v>292000</v>
      </c>
      <c r="I320" s="35">
        <v>0</v>
      </c>
      <c r="J320" s="36">
        <f t="shared" si="8"/>
        <v>503500</v>
      </c>
    </row>
    <row r="321" spans="1:10" ht="31.25">
      <c r="A321" s="32">
        <v>313</v>
      </c>
      <c r="B321" s="33" t="s">
        <v>564</v>
      </c>
      <c r="C321" s="34" t="s">
        <v>99</v>
      </c>
      <c r="D321" s="34" t="s">
        <v>565</v>
      </c>
      <c r="E321" s="34">
        <v>3</v>
      </c>
      <c r="F321" s="35">
        <v>600000</v>
      </c>
      <c r="G321" s="11">
        <f>3*22300</f>
        <v>66900</v>
      </c>
      <c r="H321" s="35">
        <v>0</v>
      </c>
      <c r="I321" s="35">
        <f>961922+937719</f>
        <v>1899641</v>
      </c>
      <c r="J321" s="36">
        <f t="shared" si="8"/>
        <v>2566541</v>
      </c>
    </row>
    <row r="322" spans="1:10" ht="31.25">
      <c r="A322" s="32">
        <v>314</v>
      </c>
      <c r="B322" s="33" t="s">
        <v>566</v>
      </c>
      <c r="C322" s="34" t="s">
        <v>231</v>
      </c>
      <c r="D322" s="34" t="s">
        <v>567</v>
      </c>
      <c r="E322" s="34">
        <v>5</v>
      </c>
      <c r="F322" s="35">
        <v>840000</v>
      </c>
      <c r="G322" s="11">
        <f>5*22300</f>
        <v>111500</v>
      </c>
      <c r="H322" s="11">
        <v>158180</v>
      </c>
      <c r="I322" s="35">
        <v>924164</v>
      </c>
      <c r="J322" s="36">
        <f t="shared" si="8"/>
        <v>2033844</v>
      </c>
    </row>
    <row r="323" spans="1:10" ht="31.25">
      <c r="A323" s="32">
        <v>315</v>
      </c>
      <c r="B323" s="33" t="s">
        <v>568</v>
      </c>
      <c r="C323" s="34" t="s">
        <v>231</v>
      </c>
      <c r="D323" s="34" t="s">
        <v>567</v>
      </c>
      <c r="E323" s="34">
        <v>2</v>
      </c>
      <c r="F323" s="35">
        <v>270000</v>
      </c>
      <c r="G323" s="11">
        <f>2*22300</f>
        <v>44600</v>
      </c>
      <c r="H323" s="11">
        <v>405000</v>
      </c>
      <c r="I323" s="35">
        <v>913000</v>
      </c>
      <c r="J323" s="36">
        <f t="shared" si="8"/>
        <v>1632600</v>
      </c>
    </row>
    <row r="324" spans="1:10" ht="31.25">
      <c r="A324" s="32">
        <v>316</v>
      </c>
      <c r="B324" s="33" t="s">
        <v>569</v>
      </c>
      <c r="C324" s="34" t="s">
        <v>231</v>
      </c>
      <c r="D324" s="34" t="s">
        <v>570</v>
      </c>
      <c r="E324" s="34">
        <v>2</v>
      </c>
      <c r="F324" s="35">
        <v>207000</v>
      </c>
      <c r="G324" s="11">
        <f>2*22300</f>
        <v>44600</v>
      </c>
      <c r="H324" s="11">
        <v>223240</v>
      </c>
      <c r="I324" s="35">
        <v>1623826</v>
      </c>
      <c r="J324" s="36">
        <f t="shared" si="8"/>
        <v>2098666</v>
      </c>
    </row>
    <row r="325" spans="1:10" ht="31.25">
      <c r="A325" s="32">
        <v>317</v>
      </c>
      <c r="B325" s="33" t="s">
        <v>571</v>
      </c>
      <c r="C325" s="34" t="s">
        <v>231</v>
      </c>
      <c r="D325" s="34" t="s">
        <v>567</v>
      </c>
      <c r="E325" s="34">
        <v>5</v>
      </c>
      <c r="F325" s="35">
        <v>1080000</v>
      </c>
      <c r="G325" s="11">
        <f>5*22300</f>
        <v>111500</v>
      </c>
      <c r="H325" s="11">
        <v>223240</v>
      </c>
      <c r="I325" s="35">
        <v>912376</v>
      </c>
      <c r="J325" s="36">
        <f t="shared" si="8"/>
        <v>2327116</v>
      </c>
    </row>
    <row r="326" spans="1:10" ht="31.25">
      <c r="A326" s="32">
        <v>318</v>
      </c>
      <c r="B326" s="33" t="s">
        <v>572</v>
      </c>
      <c r="C326" s="34" t="s">
        <v>573</v>
      </c>
      <c r="D326" s="34" t="s">
        <v>574</v>
      </c>
      <c r="E326" s="34">
        <v>3</v>
      </c>
      <c r="F326" s="35">
        <v>0</v>
      </c>
      <c r="G326" s="11">
        <f>3*22300</f>
        <v>66900</v>
      </c>
      <c r="H326" s="35">
        <v>0</v>
      </c>
      <c r="I326" s="35">
        <v>0</v>
      </c>
      <c r="J326" s="36">
        <f t="shared" si="8"/>
        <v>66900</v>
      </c>
    </row>
    <row r="327" spans="1:10" ht="31.25">
      <c r="A327" s="32">
        <v>319</v>
      </c>
      <c r="B327" s="33" t="s">
        <v>572</v>
      </c>
      <c r="C327" s="34" t="s">
        <v>573</v>
      </c>
      <c r="D327" s="34" t="s">
        <v>574</v>
      </c>
      <c r="E327" s="34">
        <v>3</v>
      </c>
      <c r="F327" s="35">
        <v>0</v>
      </c>
      <c r="G327" s="11">
        <f>3*22300</f>
        <v>66900</v>
      </c>
      <c r="H327" s="35">
        <v>0</v>
      </c>
      <c r="I327" s="35">
        <v>0</v>
      </c>
      <c r="J327" s="36">
        <f t="shared" si="8"/>
        <v>66900</v>
      </c>
    </row>
    <row r="328" spans="1:10" ht="31.25">
      <c r="A328" s="32">
        <v>320</v>
      </c>
      <c r="B328" s="33" t="s">
        <v>532</v>
      </c>
      <c r="C328" s="34" t="s">
        <v>107</v>
      </c>
      <c r="D328" s="34" t="s">
        <v>523</v>
      </c>
      <c r="E328" s="34">
        <v>9</v>
      </c>
      <c r="F328" s="35">
        <v>2000000</v>
      </c>
      <c r="G328" s="11">
        <f>+E328*22300</f>
        <v>200700</v>
      </c>
      <c r="H328" s="35">
        <v>0</v>
      </c>
      <c r="I328" s="35">
        <v>0</v>
      </c>
      <c r="J328" s="36">
        <f t="shared" si="8"/>
        <v>2200700</v>
      </c>
    </row>
    <row r="329" spans="1:10" ht="31.25">
      <c r="A329" s="32">
        <v>321</v>
      </c>
      <c r="B329" s="33" t="s">
        <v>575</v>
      </c>
      <c r="C329" s="34" t="s">
        <v>164</v>
      </c>
      <c r="D329" s="34" t="s">
        <v>576</v>
      </c>
      <c r="E329" s="34">
        <v>5</v>
      </c>
      <c r="F329" s="35">
        <f>230000+460000</f>
        <v>690000</v>
      </c>
      <c r="G329" s="11">
        <f>5*22300</f>
        <v>111500</v>
      </c>
      <c r="H329" s="35">
        <v>0</v>
      </c>
      <c r="I329" s="35">
        <v>0</v>
      </c>
      <c r="J329" s="36">
        <f t="shared" si="8"/>
        <v>801500</v>
      </c>
    </row>
    <row r="330" spans="1:10" ht="31.25">
      <c r="A330" s="32">
        <v>322</v>
      </c>
      <c r="B330" s="33" t="s">
        <v>577</v>
      </c>
      <c r="C330" s="34" t="s">
        <v>164</v>
      </c>
      <c r="D330" s="34" t="s">
        <v>576</v>
      </c>
      <c r="E330" s="34">
        <v>5</v>
      </c>
      <c r="F330" s="35">
        <f>230000+460000</f>
        <v>690000</v>
      </c>
      <c r="G330" s="11">
        <f>5*22300</f>
        <v>111500</v>
      </c>
      <c r="H330" s="11">
        <f>315000+140000+178200+156000+285000</f>
        <v>1074200</v>
      </c>
      <c r="I330" s="35">
        <v>0</v>
      </c>
      <c r="J330" s="36">
        <f t="shared" ref="J330:J338" si="9">+F330+G330+H330+I330</f>
        <v>1875700</v>
      </c>
    </row>
    <row r="331" spans="1:10" ht="31.25">
      <c r="A331" s="32">
        <v>323</v>
      </c>
      <c r="B331" s="33" t="s">
        <v>577</v>
      </c>
      <c r="C331" s="34" t="s">
        <v>164</v>
      </c>
      <c r="D331" s="34" t="s">
        <v>576</v>
      </c>
      <c r="E331" s="34">
        <v>5</v>
      </c>
      <c r="F331" s="35">
        <f>230000+460000</f>
        <v>690000</v>
      </c>
      <c r="G331" s="11">
        <f>5*22300</f>
        <v>111500</v>
      </c>
      <c r="H331" s="35">
        <v>0</v>
      </c>
      <c r="I331" s="35">
        <v>0</v>
      </c>
      <c r="J331" s="36">
        <f t="shared" si="9"/>
        <v>801500</v>
      </c>
    </row>
    <row r="332" spans="1:10" ht="31.25">
      <c r="A332" s="32">
        <v>324</v>
      </c>
      <c r="B332" s="33" t="s">
        <v>578</v>
      </c>
      <c r="C332" s="34" t="s">
        <v>579</v>
      </c>
      <c r="D332" s="34" t="s">
        <v>580</v>
      </c>
      <c r="E332" s="34">
        <v>6</v>
      </c>
      <c r="F332" s="35">
        <f>150000+300000+150000+150000</f>
        <v>750000</v>
      </c>
      <c r="G332" s="11">
        <f>6*22300</f>
        <v>133800</v>
      </c>
      <c r="H332" s="35">
        <v>0</v>
      </c>
      <c r="I332" s="35">
        <v>0</v>
      </c>
      <c r="J332" s="36">
        <f t="shared" si="9"/>
        <v>883800</v>
      </c>
    </row>
    <row r="333" spans="1:10" ht="31.25">
      <c r="A333" s="32">
        <v>325</v>
      </c>
      <c r="B333" s="33" t="s">
        <v>578</v>
      </c>
      <c r="C333" s="34" t="s">
        <v>579</v>
      </c>
      <c r="D333" s="34" t="s">
        <v>580</v>
      </c>
      <c r="E333" s="34">
        <v>6</v>
      </c>
      <c r="F333" s="35">
        <f>150000+150000+300000+150000</f>
        <v>750000</v>
      </c>
      <c r="G333" s="11">
        <f>6*22300</f>
        <v>133800</v>
      </c>
      <c r="H333" s="11">
        <f>236000+289000+94000+275600</f>
        <v>894600</v>
      </c>
      <c r="I333" s="35">
        <v>0</v>
      </c>
      <c r="J333" s="36">
        <f t="shared" si="9"/>
        <v>1778400</v>
      </c>
    </row>
    <row r="334" spans="1:10" ht="31.25">
      <c r="A334" s="32">
        <v>326</v>
      </c>
      <c r="B334" s="33" t="s">
        <v>532</v>
      </c>
      <c r="C334" s="34" t="s">
        <v>107</v>
      </c>
      <c r="D334" s="34" t="s">
        <v>523</v>
      </c>
      <c r="E334" s="34">
        <v>9</v>
      </c>
      <c r="F334" s="35">
        <v>1200000</v>
      </c>
      <c r="G334" s="11">
        <f>9*22300</f>
        <v>200700</v>
      </c>
      <c r="H334" s="11">
        <v>108000</v>
      </c>
      <c r="I334" s="35">
        <v>0</v>
      </c>
      <c r="J334" s="36">
        <f t="shared" si="9"/>
        <v>1508700</v>
      </c>
    </row>
    <row r="335" spans="1:10" ht="31.25">
      <c r="A335" s="32">
        <v>327</v>
      </c>
      <c r="B335" s="33" t="s">
        <v>578</v>
      </c>
      <c r="C335" s="34" t="s">
        <v>579</v>
      </c>
      <c r="D335" s="34" t="s">
        <v>580</v>
      </c>
      <c r="E335" s="34">
        <v>6</v>
      </c>
      <c r="F335" s="35">
        <f>150000+300000+150000+220000</f>
        <v>820000</v>
      </c>
      <c r="G335" s="11">
        <f>6*22300</f>
        <v>133800</v>
      </c>
      <c r="H335" s="35">
        <v>0</v>
      </c>
      <c r="I335" s="35">
        <v>0</v>
      </c>
      <c r="J335" s="36">
        <f t="shared" si="9"/>
        <v>953800</v>
      </c>
    </row>
    <row r="336" spans="1:10" ht="31.25">
      <c r="A336" s="32">
        <v>328</v>
      </c>
      <c r="B336" s="33" t="s">
        <v>581</v>
      </c>
      <c r="C336" s="34" t="s">
        <v>81</v>
      </c>
      <c r="D336" s="34" t="s">
        <v>582</v>
      </c>
      <c r="E336" s="34">
        <v>2</v>
      </c>
      <c r="F336" s="35">
        <v>300000</v>
      </c>
      <c r="G336" s="11">
        <f>2*22300</f>
        <v>44600</v>
      </c>
      <c r="H336" s="11">
        <v>168000</v>
      </c>
      <c r="I336" s="35">
        <v>0</v>
      </c>
      <c r="J336" s="36">
        <f t="shared" si="9"/>
        <v>512600</v>
      </c>
    </row>
    <row r="337" spans="1:10" ht="31.25">
      <c r="A337" s="32">
        <v>329</v>
      </c>
      <c r="B337" s="33" t="s">
        <v>583</v>
      </c>
      <c r="C337" s="34" t="s">
        <v>131</v>
      </c>
      <c r="D337" s="34" t="s">
        <v>584</v>
      </c>
      <c r="E337" s="34">
        <v>1</v>
      </c>
      <c r="F337" s="35">
        <v>380000</v>
      </c>
      <c r="G337" s="11">
        <v>22300</v>
      </c>
      <c r="H337" s="11">
        <v>238140</v>
      </c>
      <c r="I337" s="35">
        <v>0</v>
      </c>
      <c r="J337" s="36">
        <f t="shared" si="9"/>
        <v>640440</v>
      </c>
    </row>
    <row r="338" spans="1:10" ht="31.25">
      <c r="A338" s="32">
        <v>330</v>
      </c>
      <c r="B338" s="33" t="s">
        <v>585</v>
      </c>
      <c r="C338" s="34" t="s">
        <v>586</v>
      </c>
      <c r="D338" s="34" t="s">
        <v>587</v>
      </c>
      <c r="E338" s="34">
        <v>5</v>
      </c>
      <c r="F338" s="35">
        <f>250000+180000</f>
        <v>430000</v>
      </c>
      <c r="G338" s="11">
        <f>5*22300</f>
        <v>111500</v>
      </c>
      <c r="H338" s="11">
        <f>133140+75800+95440+59410</f>
        <v>363790</v>
      </c>
      <c r="I338" s="35">
        <v>0</v>
      </c>
      <c r="J338" s="36">
        <f t="shared" si="9"/>
        <v>905290</v>
      </c>
    </row>
    <row r="339" spans="1:10" ht="31.25">
      <c r="A339" s="38" t="s">
        <v>648</v>
      </c>
      <c r="B339" s="38" t="s">
        <v>648</v>
      </c>
      <c r="C339" s="39" t="s">
        <v>649</v>
      </c>
      <c r="D339" s="38" t="s">
        <v>648</v>
      </c>
      <c r="E339" s="40" t="s">
        <v>648</v>
      </c>
      <c r="F339" s="41">
        <f t="shared" ref="F339:J339" si="10">SUM(F10:F338)</f>
        <v>259651060</v>
      </c>
      <c r="G339" s="41">
        <f t="shared" si="10"/>
        <v>47835578</v>
      </c>
      <c r="H339" s="41">
        <f t="shared" si="10"/>
        <v>107124542</v>
      </c>
      <c r="I339" s="41">
        <f t="shared" si="10"/>
        <v>14059291</v>
      </c>
      <c r="J339" s="41">
        <f t="shared" si="10"/>
        <v>428670471</v>
      </c>
    </row>
  </sheetData>
  <mergeCells count="4">
    <mergeCell ref="A3:J3"/>
    <mergeCell ref="A5:J5"/>
    <mergeCell ref="A2:J2"/>
    <mergeCell ref="A4:J4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май-август</vt:lpstr>
      <vt:lpstr>Командировки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2022-01-19T11:28:26Z</cp:lastPrinted>
  <dcterms:created xsi:type="dcterms:W3CDTF">2019-03-16T06:41:09Z</dcterms:created>
  <dcterms:modified xsi:type="dcterms:W3CDTF">2022-01-19T11:28:42Z</dcterms:modified>
</cp:coreProperties>
</file>